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drawings/vmlDrawing1.xml" ContentType="application/vnd.openxmlformats-officedocument.vmlDrawing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name="can_1" vbProcedure="false">"$Sheet1.$#REF!$#REF!"</definedName>
  </definedNames>
  <calcPr iterateCount="100" refMode="A1" iterate="false" iterateDelta="0.001"/>
</workbook>
</file>

<file path=xl/comments1.xml><?xml version="1.0" encoding="utf-8"?>
<comments xmlns="http://schemas.openxmlformats.org/spreadsheetml/2006/main">
  <authors>
    <author/>
  </authors>
  <commentList>
    <comment authorId="0" ref="I1">
      <text/>
    </comment>
    <comment authorId="0" ref="J1">
      <text/>
    </comment>
    <comment authorId="0" ref="M1">
      <text/>
    </comment>
    <comment authorId="0" ref="Y1">
      <text/>
    </comment>
    <comment authorId="0" ref="AK1">
      <text/>
    </comment>
    <comment authorId="0" ref="AS1">
      <text/>
    </comment>
    <comment authorId="0" ref="AT1">
      <text/>
    </comment>
    <comment authorId="0" ref="AY1">
      <text/>
    </comment>
    <comment authorId="0" ref="CG1">
      <text/>
    </comment>
    <comment authorId="0" ref="CN1">
      <text/>
    </comment>
    <comment authorId="0" ref="DM1">
      <text/>
    </comment>
    <comment authorId="0" ref="EM1">
      <text/>
    </comment>
    <comment authorId="0" ref="GO1">
      <text/>
    </comment>
    <comment authorId="0" ref="HM1">
      <text/>
    </comment>
    <comment authorId="0" ref="IU1">
      <text/>
    </comment>
    <comment authorId="0" ref="IY1">
      <text/>
    </comment>
    <comment authorId="0" ref="IZ1">
      <text/>
    </comment>
    <comment authorId="0" ref="JA1">
      <text/>
    </comment>
    <comment authorId="0" ref="JB1">
      <text/>
    </comment>
    <comment authorId="0" ref="I2">
      <text/>
    </comment>
    <comment authorId="0" ref="A3">
      <text/>
    </comment>
    <comment authorId="0" ref="A4">
      <text/>
    </comment>
    <comment authorId="0" ref="A5">
      <text/>
    </comment>
    <comment authorId="0" ref="AV5">
      <text/>
    </comment>
    <comment authorId="0" ref="DL5">
      <text/>
    </comment>
    <comment authorId="0" ref="A6">
      <text/>
    </comment>
    <comment authorId="0" ref="A7">
      <text/>
    </comment>
    <comment authorId="0" ref="A8">
      <text/>
    </comment>
    <comment authorId="0" ref="I8">
      <text/>
    </comment>
    <comment authorId="0" ref="I9">
      <text/>
    </comment>
    <comment authorId="0" ref="I10">
      <text/>
    </comment>
    <comment authorId="0" ref="I11">
      <text/>
    </comment>
    <comment authorId="0" ref="R11">
      <text/>
    </comment>
    <comment authorId="0" ref="A12">
      <text/>
    </comment>
    <comment authorId="0" ref="I12">
      <text/>
    </comment>
    <comment authorId="0" ref="J12">
      <text/>
    </comment>
    <comment authorId="0" ref="DH12">
      <text/>
    </comment>
    <comment authorId="0" ref="HP12">
      <text/>
    </comment>
    <comment authorId="0" ref="A13">
      <text/>
    </comment>
    <comment authorId="0" ref="I13">
      <text/>
    </comment>
    <comment authorId="0" ref="J13">
      <text/>
    </comment>
    <comment authorId="0" ref="DH13">
      <text/>
    </comment>
    <comment authorId="0" ref="HP13">
      <text/>
    </comment>
    <comment authorId="0" ref="I14">
      <text/>
    </comment>
    <comment authorId="0" ref="W14">
      <text/>
    </comment>
    <comment authorId="0" ref="A15">
      <text/>
    </comment>
    <comment authorId="0" ref="I15">
      <text/>
    </comment>
    <comment authorId="0" ref="A16">
      <text/>
    </comment>
    <comment authorId="0" ref="I16">
      <text/>
    </comment>
    <comment authorId="0" ref="C17">
      <text/>
    </comment>
    <comment authorId="0" ref="F17">
      <text/>
    </comment>
    <comment authorId="0" ref="C18">
      <text/>
    </comment>
    <comment authorId="0" ref="A19">
      <text/>
    </comment>
    <comment authorId="0" ref="A20">
      <text/>
    </comment>
    <comment authorId="0" ref="C21">
      <text/>
    </comment>
    <comment authorId="0" ref="I21">
      <text/>
    </comment>
    <comment authorId="0" ref="AB21">
      <text/>
    </comment>
    <comment authorId="0" ref="CO21">
      <text/>
    </comment>
    <comment authorId="0" ref="A22">
      <text/>
    </comment>
    <comment authorId="0" ref="G22">
      <text/>
    </comment>
    <comment authorId="0" ref="I24">
      <text/>
    </comment>
    <comment authorId="0" ref="ID24">
      <text/>
    </comment>
    <comment authorId="0" ref="C25">
      <text/>
    </comment>
    <comment authorId="0" ref="I25">
      <text/>
    </comment>
    <comment authorId="0" ref="A28">
      <text/>
    </comment>
    <comment authorId="0" ref="I28">
      <text/>
    </comment>
    <comment authorId="0" ref="II28">
      <text/>
    </comment>
    <comment authorId="0" ref="IM29">
      <text/>
    </comment>
    <comment authorId="0" ref="A30">
      <text/>
    </comment>
    <comment authorId="0" ref="G30">
      <text/>
    </comment>
    <comment authorId="0" ref="AD30">
      <text/>
    </comment>
    <comment authorId="0" ref="G31">
      <text/>
    </comment>
    <comment authorId="0" ref="A33">
      <text/>
    </comment>
    <comment authorId="0" ref="I33">
      <text/>
    </comment>
    <comment authorId="0" ref="A34">
      <text/>
    </comment>
    <comment authorId="0" ref="K34">
      <text/>
    </comment>
    <comment authorId="0" ref="T34">
      <text/>
    </comment>
    <comment authorId="0" ref="FV34">
      <text/>
    </comment>
    <comment authorId="0" ref="G36">
      <text/>
    </comment>
    <comment authorId="0" ref="S36">
      <text/>
    </comment>
    <comment authorId="0" ref="A43">
      <text/>
    </comment>
    <comment authorId="0" ref="C45">
      <text/>
    </comment>
    <comment authorId="0" ref="T45">
      <text/>
    </comment>
    <comment authorId="0" ref="BG45">
      <text/>
    </comment>
    <comment authorId="0" ref="FV45">
      <text/>
    </comment>
    <comment authorId="0" ref="FX45">
      <text/>
    </comment>
    <comment authorId="0" ref="C48">
      <text/>
    </comment>
    <comment authorId="0" ref="AQ48">
      <text/>
    </comment>
    <comment authorId="0" ref="BB48">
      <text/>
    </comment>
    <comment authorId="0" ref="BH48">
      <text/>
    </comment>
    <comment authorId="0" ref="CQ48">
      <text/>
    </comment>
    <comment authorId="0" ref="DB48">
      <text/>
    </comment>
    <comment authorId="0" ref="EI48">
      <text/>
    </comment>
    <comment authorId="0" ref="EL48">
      <text/>
    </comment>
    <comment authorId="0" ref="GZ48">
      <text/>
    </comment>
    <comment authorId="0" ref="HA48">
      <text/>
    </comment>
    <comment authorId="0" ref="HB48">
      <text/>
    </comment>
    <comment authorId="0" ref="HC48">
      <text/>
    </comment>
    <comment authorId="0" ref="HE48">
      <text/>
    </comment>
    <comment authorId="0" ref="IM48">
      <text/>
    </comment>
    <comment authorId="0" ref="IQ48">
      <text/>
    </comment>
    <comment authorId="0" ref="IR48">
      <text/>
    </comment>
    <comment authorId="0" ref="IU48">
      <text/>
    </comment>
    <comment authorId="0" ref="IV48">
      <text/>
    </comment>
    <comment authorId="0" ref="IW48">
      <text/>
    </comment>
    <comment authorId="0" ref="IX48">
      <text/>
    </comment>
    <comment authorId="0" ref="JC48">
      <text/>
    </comment>
    <comment authorId="0" ref="JD48">
      <text/>
    </comment>
    <comment authorId="0" ref="JL48">
      <text/>
    </comment>
    <comment authorId="0" ref="A49">
      <text/>
    </comment>
    <comment authorId="0" ref="I49">
      <text/>
    </comment>
    <comment authorId="0" ref="FV49">
      <text/>
    </comment>
    <comment authorId="0" ref="FX49">
      <text/>
    </comment>
    <comment authorId="0" ref="A50">
      <text/>
    </comment>
    <comment authorId="0" ref="AO51">
      <text/>
    </comment>
    <comment authorId="0" ref="AQ51">
      <text/>
    </comment>
    <comment authorId="0" ref="DE51">
      <text/>
    </comment>
    <comment authorId="0" ref="FD51">
      <text/>
    </comment>
    <comment authorId="0" ref="AP52">
      <text/>
    </comment>
    <comment authorId="0" ref="AQ54">
      <text/>
    </comment>
    <comment authorId="0" ref="GK54">
      <text/>
    </comment>
    <comment authorId="0" ref="F56">
      <text/>
    </comment>
    <comment authorId="0" ref="FL56">
      <text/>
    </comment>
    <comment authorId="0" ref="G57">
      <text/>
    </comment>
    <comment authorId="0" ref="G58">
      <text/>
    </comment>
    <comment authorId="0" ref="GL58">
      <text/>
    </comment>
    <comment authorId="0" ref="GN58">
      <text/>
    </comment>
    <comment authorId="0" ref="C59">
      <text/>
    </comment>
    <comment authorId="0" ref="HO59">
      <text/>
    </comment>
    <comment authorId="0" ref="AW60">
      <text/>
    </comment>
    <comment authorId="0" ref="EF60">
      <text/>
    </comment>
    <comment authorId="0" ref="A61">
      <text/>
    </comment>
    <comment authorId="0" ref="AX61">
      <text/>
    </comment>
    <comment authorId="0" ref="C65">
      <text/>
    </comment>
    <comment authorId="0" ref="JL65">
      <text/>
    </comment>
    <comment authorId="0" ref="I69">
      <text/>
    </comment>
    <comment authorId="0" ref="A70">
      <text/>
    </comment>
    <comment authorId="0" ref="F70">
      <text/>
    </comment>
    <comment authorId="0" ref="A71">
      <text/>
    </comment>
    <comment authorId="0" ref="F71">
      <text/>
    </comment>
    <comment authorId="0" ref="I72">
      <text/>
    </comment>
    <comment authorId="0" ref="I73">
      <text/>
    </comment>
    <comment authorId="0" ref="C75">
      <text/>
    </comment>
    <comment authorId="0" ref="G75">
      <text/>
    </comment>
    <comment authorId="0" ref="BD75">
      <text/>
    </comment>
    <comment authorId="0" ref="FV75">
      <text/>
    </comment>
    <comment authorId="0" ref="I76">
      <text/>
    </comment>
    <comment authorId="0" ref="I78">
      <text/>
    </comment>
    <comment authorId="0" ref="A79">
      <text/>
    </comment>
    <comment authorId="0" ref="T79">
      <text/>
    </comment>
    <comment authorId="0" ref="X79">
      <text/>
    </comment>
    <comment authorId="0" ref="DA79">
      <text/>
    </comment>
    <comment authorId="0" ref="DK79">
      <text/>
    </comment>
    <comment authorId="0" ref="FO79">
      <text/>
    </comment>
    <comment authorId="0" ref="FR79">
      <text/>
    </comment>
    <comment authorId="0" ref="FV79">
      <text/>
    </comment>
    <comment authorId="0" ref="GS79">
      <text/>
    </comment>
    <comment authorId="0" ref="IA79">
      <text/>
    </comment>
    <comment authorId="0" ref="A80">
      <text/>
    </comment>
    <comment authorId="0" ref="A81">
      <text/>
    </comment>
    <comment authorId="0" ref="G81">
      <text/>
    </comment>
    <comment authorId="0" ref="I82">
      <text/>
    </comment>
    <comment authorId="0" ref="BH82">
      <text/>
    </comment>
    <comment authorId="0" ref="EG82">
      <text/>
    </comment>
    <comment authorId="0" ref="A84">
      <text/>
    </comment>
    <comment authorId="0" ref="C86">
      <text/>
    </comment>
    <comment authorId="0" ref="G86">
      <text/>
    </comment>
    <comment authorId="0" ref="BL86">
      <text/>
    </comment>
    <comment authorId="0" ref="DR86">
      <text/>
    </comment>
    <comment authorId="0" ref="F88">
      <text/>
    </comment>
    <comment authorId="0" ref="I88">
      <text/>
    </comment>
    <comment authorId="0" ref="A89">
      <text/>
    </comment>
    <comment authorId="0" ref="C89">
      <text/>
    </comment>
    <comment authorId="0" ref="AO89">
      <text/>
    </comment>
    <comment authorId="0" ref="AX89">
      <text/>
    </comment>
    <comment authorId="0" ref="BZ89">
      <text/>
    </comment>
    <comment authorId="0" ref="DU89">
      <text/>
    </comment>
    <comment authorId="0" ref="GN89">
      <text/>
    </comment>
    <comment authorId="0" ref="GS89">
      <text/>
    </comment>
    <comment authorId="0" ref="I91">
      <text/>
    </comment>
    <comment authorId="0" ref="DY91">
      <text/>
    </comment>
    <comment authorId="0" ref="JD93">
      <text/>
    </comment>
    <comment authorId="0" ref="I94">
      <text/>
    </comment>
    <comment authorId="0" ref="A96">
      <text/>
    </comment>
    <comment authorId="0" ref="A99">
      <text/>
    </comment>
    <comment authorId="0" ref="I100">
      <text/>
    </comment>
    <comment authorId="0" ref="C101">
      <text/>
    </comment>
    <comment authorId="0" ref="H101">
      <text/>
    </comment>
    <comment authorId="0" ref="BN101">
      <text/>
    </comment>
    <comment authorId="0" ref="FV101">
      <text/>
    </comment>
    <comment authorId="0" ref="GN101">
      <text/>
    </comment>
    <comment authorId="0" ref="IR101">
      <text/>
    </comment>
    <comment authorId="0" ref="G103">
      <text/>
    </comment>
    <comment authorId="0" ref="I109">
      <text/>
    </comment>
    <comment authorId="0" ref="CB109">
      <text/>
    </comment>
    <comment authorId="0" ref="F110">
      <text/>
    </comment>
    <comment authorId="0" ref="G110">
      <text/>
    </comment>
    <comment authorId="0" ref="F111">
      <text/>
    </comment>
    <comment authorId="0" ref="C112">
      <text/>
    </comment>
    <comment authorId="0" ref="AO112">
      <text/>
    </comment>
    <comment authorId="0" ref="BB112">
      <text/>
    </comment>
    <comment authorId="0" ref="BI112">
      <text/>
    </comment>
    <comment authorId="0" ref="BN112">
      <text/>
    </comment>
    <comment authorId="0" ref="DE112">
      <text/>
    </comment>
    <comment authorId="0" ref="EX112">
      <text/>
    </comment>
    <comment authorId="0" ref="I113">
      <text/>
    </comment>
    <comment authorId="0" ref="G114">
      <text/>
    </comment>
    <comment authorId="0" ref="C117">
      <text/>
    </comment>
    <comment authorId="0" ref="BG117">
      <text/>
    </comment>
    <comment authorId="0" ref="DF117">
      <text/>
    </comment>
    <comment authorId="0" ref="FV117">
      <text/>
    </comment>
    <comment authorId="0" ref="FX117">
      <text/>
    </comment>
    <comment authorId="0" ref="A118">
      <text/>
    </comment>
    <comment authorId="0" ref="I119">
      <text/>
    </comment>
    <comment authorId="0" ref="BV119">
      <text/>
    </comment>
    <comment authorId="0" ref="CI119">
      <text/>
    </comment>
    <comment authorId="0" ref="FE119">
      <text/>
    </comment>
    <comment authorId="0" ref="GS119">
      <text/>
    </comment>
    <comment authorId="0" ref="HE119">
      <text/>
    </comment>
    <comment authorId="0" ref="AM121">
      <text/>
    </comment>
    <comment authorId="0" ref="AO121">
      <text/>
    </comment>
    <comment authorId="0" ref="CC121">
      <text/>
    </comment>
    <comment authorId="0" ref="FX121">
      <text/>
    </comment>
    <comment authorId="0" ref="JE121">
      <text/>
    </comment>
    <comment authorId="0" ref="CA122">
      <text/>
    </comment>
    <comment authorId="0" ref="A123">
      <text/>
    </comment>
    <comment authorId="0" ref="G123">
      <text/>
    </comment>
    <comment authorId="0" ref="FD123">
      <text/>
    </comment>
    <comment authorId="0" ref="C124">
      <text/>
    </comment>
    <comment authorId="0" ref="X124">
      <text/>
    </comment>
    <comment authorId="0" ref="EY125">
      <text/>
    </comment>
    <comment authorId="0" ref="A127">
      <text/>
    </comment>
    <comment authorId="0" ref="I129">
      <text/>
    </comment>
    <comment authorId="0" ref="CQ129">
      <text/>
    </comment>
    <comment authorId="0" ref="F130">
      <text/>
    </comment>
    <comment authorId="0" ref="CT130">
      <text/>
    </comment>
    <comment authorId="0" ref="F134">
      <text/>
    </comment>
    <comment authorId="0" ref="AK135">
      <text/>
    </comment>
    <comment authorId="0" ref="AQ135">
      <text/>
    </comment>
    <comment authorId="0" ref="IQ135">
      <text/>
    </comment>
    <comment authorId="0" ref="G136">
      <text/>
    </comment>
    <comment authorId="0" ref="A138">
      <text/>
    </comment>
    <comment authorId="0" ref="G140">
      <text/>
    </comment>
    <comment authorId="0" ref="I142">
      <text/>
    </comment>
    <comment authorId="0" ref="I145">
      <text/>
    </comment>
    <comment authorId="0" ref="F147">
      <text/>
    </comment>
    <comment authorId="0" ref="H147">
      <text/>
    </comment>
    <comment authorId="0" ref="AQ147">
      <text/>
    </comment>
    <comment authorId="0" ref="GB147">
      <text/>
    </comment>
    <comment authorId="0" ref="IQ147">
      <text/>
    </comment>
    <comment authorId="0" ref="FV148">
      <text/>
    </comment>
    <comment authorId="0" ref="G149">
      <text/>
    </comment>
    <comment authorId="0" ref="A150">
      <text/>
    </comment>
    <comment authorId="0" ref="G150">
      <text/>
    </comment>
    <comment authorId="0" ref="A152">
      <text/>
    </comment>
    <comment authorId="0" ref="DQ152">
      <text/>
    </comment>
    <comment authorId="0" ref="F153">
      <text/>
    </comment>
    <comment authorId="0" ref="I153">
      <text/>
    </comment>
    <comment authorId="0" ref="A154">
      <text/>
    </comment>
    <comment authorId="0" ref="G154">
      <text/>
    </comment>
    <comment authorId="0" ref="A155">
      <text/>
    </comment>
    <comment authorId="0" ref="G155">
      <text/>
    </comment>
    <comment authorId="0" ref="G156">
      <text/>
    </comment>
    <comment authorId="0" ref="R156">
      <text/>
    </comment>
    <comment authorId="0" ref="AI156">
      <text/>
    </comment>
    <comment authorId="0" ref="IQ156">
      <text/>
    </comment>
    <comment authorId="0" ref="G157">
      <text/>
    </comment>
    <comment authorId="0" ref="I158">
      <text/>
    </comment>
    <comment authorId="0" ref="AQ158">
      <text/>
    </comment>
    <comment authorId="0" ref="EN158">
      <text/>
    </comment>
    <comment authorId="0" ref="FS158">
      <text/>
    </comment>
    <comment authorId="0" ref="C160">
      <text/>
    </comment>
    <comment authorId="0" ref="G160">
      <text/>
    </comment>
    <comment authorId="0" ref="BD160">
      <text/>
    </comment>
    <comment authorId="0" ref="DY160">
      <text/>
    </comment>
    <comment authorId="0" ref="EB160">
      <text/>
    </comment>
    <comment authorId="0" ref="FV160">
      <text/>
    </comment>
    <comment authorId="0" ref="A162">
      <text/>
    </comment>
    <comment authorId="0" ref="I162">
      <text/>
    </comment>
    <comment authorId="0" ref="F164">
      <text/>
    </comment>
    <comment authorId="0" ref="A166">
      <text/>
    </comment>
    <comment authorId="0" ref="G169">
      <text/>
    </comment>
    <comment authorId="0" ref="I171">
      <text/>
    </comment>
    <comment authorId="0" ref="A173">
      <text/>
    </comment>
    <comment authorId="0" ref="AU174">
      <text/>
    </comment>
    <comment authorId="0" ref="C175">
      <text/>
    </comment>
    <comment authorId="0" ref="A177">
      <text/>
    </comment>
    <comment authorId="0" ref="C177">
      <text/>
    </comment>
    <comment authorId="0" ref="C180">
      <text/>
    </comment>
    <comment authorId="0" ref="C181">
      <text/>
    </comment>
    <comment authorId="0" ref="C183">
      <text/>
    </comment>
    <comment authorId="0" ref="I183">
      <text/>
    </comment>
    <comment authorId="0" ref="L183">
      <text/>
    </comment>
    <comment authorId="0" ref="P183">
      <text/>
    </comment>
    <comment authorId="0" ref="S183">
      <text/>
    </comment>
    <comment authorId="0" ref="T183">
      <text/>
    </comment>
    <comment authorId="0" ref="AH183">
      <text/>
    </comment>
    <comment authorId="0" ref="AL183">
      <text/>
    </comment>
    <comment authorId="0" ref="AN183">
      <text/>
    </comment>
    <comment authorId="0" ref="AO183">
      <text/>
    </comment>
    <comment authorId="0" ref="AP183">
      <text/>
    </comment>
    <comment authorId="0" ref="AQ183">
      <text/>
    </comment>
    <comment authorId="0" ref="AY183">
      <text/>
    </comment>
    <comment authorId="0" ref="BC183">
      <text/>
    </comment>
    <comment authorId="0" ref="BD183">
      <text/>
    </comment>
    <comment authorId="0" ref="BG183">
      <text/>
    </comment>
    <comment authorId="0" ref="BI183">
      <text/>
    </comment>
    <comment authorId="0" ref="BP183">
      <text/>
    </comment>
    <comment authorId="0" ref="BY183">
      <text/>
    </comment>
    <comment authorId="0" ref="CJ183">
      <text/>
    </comment>
    <comment authorId="0" ref="CM183">
      <text/>
    </comment>
    <comment authorId="0" ref="CN183">
      <text/>
    </comment>
    <comment authorId="0" ref="CO183">
      <text/>
    </comment>
    <comment authorId="0" ref="CQ183">
      <text/>
    </comment>
    <comment authorId="0" ref="CS183">
      <text/>
    </comment>
    <comment authorId="0" ref="CW183">
      <text/>
    </comment>
    <comment authorId="0" ref="DE183">
      <text/>
    </comment>
    <comment authorId="0" ref="DQ183">
      <text/>
    </comment>
    <comment authorId="0" ref="DW183">
      <text/>
    </comment>
    <comment authorId="0" ref="DY183">
      <text/>
    </comment>
    <comment authorId="0" ref="EI183">
      <text/>
    </comment>
    <comment authorId="0" ref="EJ183">
      <text/>
    </comment>
    <comment authorId="0" ref="EL183">
      <text/>
    </comment>
    <comment authorId="0" ref="EN183">
      <text/>
    </comment>
    <comment authorId="0" ref="EP183">
      <text/>
    </comment>
    <comment authorId="0" ref="EU183">
      <text/>
    </comment>
    <comment authorId="0" ref="FE183">
      <text/>
    </comment>
    <comment authorId="0" ref="FJ183">
      <text/>
    </comment>
    <comment authorId="0" ref="FO183">
      <text/>
    </comment>
    <comment authorId="0" ref="FV183">
      <text/>
    </comment>
    <comment authorId="0" ref="FX183">
      <text/>
    </comment>
    <comment authorId="0" ref="FY183">
      <text/>
    </comment>
    <comment authorId="0" ref="GB183">
      <text/>
    </comment>
    <comment authorId="0" ref="GF183">
      <text/>
    </comment>
    <comment authorId="0" ref="HA183">
      <text/>
    </comment>
    <comment authorId="0" ref="HB183">
      <text/>
    </comment>
    <comment authorId="0" ref="HC183">
      <text/>
    </comment>
    <comment authorId="0" ref="HE183">
      <text/>
    </comment>
    <comment authorId="0" ref="HI183">
      <text/>
    </comment>
    <comment authorId="0" ref="HO183">
      <text/>
    </comment>
    <comment authorId="0" ref="HR183">
      <text/>
    </comment>
    <comment authorId="0" ref="HU183">
      <text/>
    </comment>
    <comment authorId="0" ref="IB183">
      <text/>
    </comment>
    <comment authorId="0" ref="ID183">
      <text/>
    </comment>
    <comment authorId="0" ref="IE183">
      <text/>
    </comment>
    <comment authorId="0" ref="IF183">
      <text/>
    </comment>
    <comment authorId="0" ref="IG183">
      <text/>
    </comment>
    <comment authorId="0" ref="IH183">
      <text/>
    </comment>
    <comment authorId="0" ref="II183">
      <text/>
    </comment>
    <comment authorId="0" ref="IJ183">
      <text/>
    </comment>
    <comment authorId="0" ref="IK183">
      <text/>
    </comment>
    <comment authorId="0" ref="IL183">
      <text/>
    </comment>
    <comment authorId="0" ref="IM183">
      <text/>
    </comment>
    <comment authorId="0" ref="IN183">
      <text/>
    </comment>
    <comment authorId="0" ref="IP183">
      <text/>
    </comment>
    <comment authorId="0" ref="IQ183">
      <text/>
    </comment>
    <comment authorId="0" ref="IR183">
      <text/>
    </comment>
    <comment authorId="0" ref="IS183">
      <text/>
    </comment>
    <comment authorId="0" ref="IT183">
      <text/>
    </comment>
    <comment authorId="0" ref="JK183">
      <text/>
    </comment>
    <comment authorId="0" ref="JL183">
      <text/>
    </comment>
    <comment authorId="0" ref="A185">
      <text/>
    </comment>
    <comment authorId="0" ref="CX185">
      <text/>
    </comment>
    <comment authorId="0" ref="HP185">
      <text/>
    </comment>
    <comment authorId="0" ref="C188">
      <text/>
    </comment>
    <comment authorId="0" ref="I188">
      <text/>
    </comment>
    <comment authorId="0" ref="EI188">
      <text/>
    </comment>
    <comment authorId="0" ref="EL188">
      <text/>
    </comment>
    <comment authorId="0" ref="G189">
      <text/>
    </comment>
    <comment authorId="0" ref="A191">
      <text/>
    </comment>
    <comment authorId="0" ref="I191">
      <text/>
    </comment>
    <comment authorId="0" ref="EN191">
      <text/>
    </comment>
    <comment authorId="0" ref="G194">
      <text/>
    </comment>
    <comment authorId="0" ref="A196">
      <text/>
    </comment>
    <comment authorId="0" ref="IO199">
      <text/>
    </comment>
    <comment authorId="0" ref="A200">
      <text/>
    </comment>
    <comment authorId="0" ref="HG200">
      <text/>
    </comment>
    <comment authorId="0" ref="A201">
      <text/>
    </comment>
    <comment authorId="0" ref="HG201">
      <text/>
    </comment>
    <comment authorId="0" ref="ID202">
      <text/>
    </comment>
    <comment authorId="0" ref="A203">
      <text/>
    </comment>
    <comment authorId="0" ref="I203">
      <text/>
    </comment>
    <comment authorId="0" ref="V203">
      <text/>
    </comment>
    <comment authorId="0" ref="AS203">
      <text/>
    </comment>
    <comment authorId="0" ref="AT203">
      <text/>
    </comment>
    <comment authorId="0" ref="AW203">
      <text/>
    </comment>
    <comment authorId="0" ref="EJ203">
      <text/>
    </comment>
    <comment authorId="0" ref="GM203">
      <text/>
    </comment>
    <comment authorId="0" ref="GO203">
      <text/>
    </comment>
    <comment authorId="0" ref="HJ203">
      <text/>
    </comment>
    <comment authorId="0" ref="IC203">
      <text/>
    </comment>
    <comment authorId="0" ref="IJ203">
      <text/>
    </comment>
    <comment authorId="0" ref="I204">
      <text/>
    </comment>
    <comment authorId="0" ref="F206">
      <text/>
    </comment>
    <comment authorId="0" ref="G206">
      <text/>
    </comment>
    <comment authorId="0" ref="H206">
      <text/>
    </comment>
    <comment authorId="0" ref="F207">
      <text/>
    </comment>
    <comment authorId="0" ref="A208">
      <text/>
    </comment>
    <comment authorId="0" ref="A209">
      <text/>
    </comment>
    <comment authorId="0" ref="A210">
      <text/>
    </comment>
    <comment authorId="0" ref="C211">
      <text/>
    </comment>
    <comment authorId="0" ref="J211">
      <text/>
    </comment>
    <comment authorId="0" ref="AN211">
      <text/>
    </comment>
    <comment authorId="0" ref="AZ211">
      <text/>
    </comment>
    <comment authorId="0" ref="EL211">
      <text/>
    </comment>
    <comment authorId="0" ref="FA211">
      <text/>
    </comment>
    <comment authorId="0" ref="FT211">
      <text/>
    </comment>
    <comment authorId="0" ref="GS211">
      <text/>
    </comment>
    <comment authorId="0" ref="GX211">
      <text/>
    </comment>
    <comment authorId="0" ref="A212">
      <text/>
    </comment>
    <comment authorId="0" ref="EH213">
      <text/>
    </comment>
    <comment authorId="0" ref="G215">
      <text/>
    </comment>
    <comment authorId="0" ref="EZ215">
      <text/>
    </comment>
    <comment authorId="0" ref="DW217">
      <text/>
    </comment>
    <comment authorId="0" ref="IF217">
      <text/>
    </comment>
    <comment authorId="0" ref="A219">
      <text/>
    </comment>
    <comment authorId="0" ref="G219">
      <text/>
    </comment>
    <comment authorId="0" ref="I219">
      <text/>
    </comment>
    <comment authorId="0" ref="FC219">
      <text/>
    </comment>
    <comment authorId="0" ref="FG221">
      <text/>
    </comment>
    <comment authorId="0" ref="I222">
      <text/>
    </comment>
    <comment authorId="0" ref="G223">
      <text/>
    </comment>
    <comment authorId="0" ref="AR223">
      <text/>
    </comment>
    <comment authorId="0" ref="GS223">
      <text/>
    </comment>
    <comment authorId="0" ref="GY223">
      <text/>
    </comment>
    <comment authorId="0" ref="A225">
      <text/>
    </comment>
    <comment authorId="0" ref="BD225">
      <text/>
    </comment>
    <comment authorId="0" ref="BI225">
      <text/>
    </comment>
    <comment authorId="0" ref="EP225">
      <text/>
    </comment>
    <comment authorId="0" ref="EU225">
      <text/>
    </comment>
    <comment authorId="0" ref="HZ225">
      <text/>
    </comment>
    <comment authorId="0" ref="C226">
      <text/>
    </comment>
    <comment authorId="0" ref="F226">
      <text/>
    </comment>
    <comment authorId="0" ref="D228">
      <text/>
    </comment>
    <comment authorId="0" ref="DC228">
      <text/>
    </comment>
    <comment authorId="0" ref="F232">
      <text/>
    </comment>
    <comment authorId="0" ref="F233">
      <text/>
    </comment>
    <comment authorId="0" ref="G233">
      <text/>
    </comment>
    <comment authorId="0" ref="I233">
      <text/>
    </comment>
    <comment authorId="0" ref="AQ233">
      <text/>
    </comment>
    <comment authorId="0" ref="II233">
      <text/>
    </comment>
    <comment authorId="0" ref="C234">
      <text/>
    </comment>
    <comment authorId="0" ref="AV234">
      <text/>
    </comment>
    <comment authorId="0" ref="DL234">
      <text/>
    </comment>
    <comment authorId="0" ref="DM234">
      <text/>
    </comment>
    <comment authorId="0" ref="FK234">
      <text/>
    </comment>
    <comment authorId="0" ref="G235">
      <text/>
    </comment>
    <comment authorId="0" ref="G237">
      <text/>
    </comment>
    <comment authorId="0" ref="GG237">
      <text/>
    </comment>
    <comment authorId="0" ref="GH237">
      <text/>
    </comment>
    <comment authorId="0" ref="A240">
      <text/>
    </comment>
    <comment authorId="0" ref="I241">
      <text/>
    </comment>
    <comment authorId="0" ref="G242">
      <text/>
    </comment>
    <comment authorId="0" ref="CK242">
      <text/>
    </comment>
    <comment authorId="0" ref="A243">
      <text/>
    </comment>
    <comment authorId="0" ref="C244">
      <text/>
    </comment>
    <comment authorId="0" ref="A246">
      <text/>
    </comment>
    <comment authorId="0" ref="AB246">
      <text/>
    </comment>
    <comment authorId="0" ref="GD247">
      <text/>
    </comment>
    <comment authorId="0" ref="G248">
      <text/>
    </comment>
    <comment authorId="0" ref="CO249">
      <text/>
    </comment>
    <comment authorId="0" ref="I250">
      <text/>
    </comment>
    <comment authorId="0" ref="O250">
      <text/>
    </comment>
    <comment authorId="0" ref="CE250">
      <text/>
    </comment>
    <comment authorId="0" ref="G251">
      <text/>
    </comment>
    <comment authorId="0" ref="FV251">
      <text/>
    </comment>
    <comment authorId="0" ref="EW252">
      <text/>
    </comment>
    <comment authorId="0" ref="IR252">
      <text/>
    </comment>
    <comment authorId="0" ref="GM254">
      <text/>
    </comment>
    <comment authorId="0" ref="A257">
      <text/>
    </comment>
    <comment authorId="0" ref="G257">
      <text/>
    </comment>
    <comment authorId="0" ref="G259">
      <text/>
    </comment>
    <comment authorId="0" ref="GO261">
      <text/>
    </comment>
    <comment authorId="0" ref="A262">
      <text/>
    </comment>
    <comment authorId="0" ref="GS263">
      <text/>
    </comment>
    <comment authorId="0" ref="GV264">
      <text/>
    </comment>
    <comment authorId="0" ref="A266">
      <text/>
    </comment>
    <comment authorId="0" ref="G269">
      <text/>
    </comment>
    <comment authorId="0" ref="A272">
      <text/>
    </comment>
    <comment authorId="0" ref="HJ272">
      <text/>
    </comment>
    <comment authorId="0" ref="I273">
      <text/>
    </comment>
    <comment authorId="0" ref="CO273">
      <text/>
    </comment>
    <comment authorId="0" ref="A276">
      <text/>
    </comment>
    <comment authorId="0" ref="E277">
      <text/>
    </comment>
    <comment authorId="0" ref="G278">
      <text/>
    </comment>
    <comment authorId="0" ref="L279">
      <text/>
    </comment>
    <comment authorId="0" ref="AK279">
      <text/>
    </comment>
    <comment authorId="0" ref="CN279">
      <text/>
    </comment>
    <comment authorId="0" ref="CO279">
      <text/>
    </comment>
    <comment authorId="0" ref="DQ279">
      <text/>
    </comment>
    <comment authorId="0" ref="IQ279">
      <text/>
    </comment>
    <comment authorId="0" ref="A281">
      <text/>
    </comment>
    <comment authorId="0" ref="BE281">
      <text/>
    </comment>
    <comment authorId="0" ref="DA281">
      <text/>
    </comment>
    <comment authorId="0" ref="EM281">
      <text/>
    </comment>
    <comment authorId="0" ref="EV281">
      <text/>
    </comment>
    <comment authorId="0" ref="FA281">
      <text/>
    </comment>
    <comment authorId="0" ref="FD281">
      <text/>
    </comment>
    <comment authorId="0" ref="FU281">
      <text/>
    </comment>
    <comment authorId="0" ref="A284">
      <text/>
    </comment>
    <comment authorId="0" ref="I284">
      <text/>
    </comment>
    <comment authorId="0" ref="A288">
      <text/>
    </comment>
    <comment authorId="0" ref="I288">
      <text/>
    </comment>
    <comment authorId="0" ref="IY291">
      <text/>
    </comment>
    <comment authorId="0" ref="IZ291">
      <text/>
    </comment>
    <comment authorId="0" ref="JA291">
      <text/>
    </comment>
    <comment authorId="0" ref="JB291">
      <text/>
    </comment>
    <comment authorId="0" ref="I293">
      <text/>
    </comment>
    <comment authorId="0" ref="R293">
      <text/>
    </comment>
    <comment authorId="0" ref="X293">
      <text/>
    </comment>
    <comment authorId="0" ref="GO293">
      <text/>
    </comment>
    <comment authorId="0" ref="HT293">
      <text/>
    </comment>
    <comment authorId="0" ref="D296">
      <text/>
    </comment>
    <comment authorId="0" ref="HZ296">
      <text/>
    </comment>
    <comment authorId="0" ref="I297">
      <text/>
    </comment>
    <comment authorId="0" ref="G298">
      <text/>
    </comment>
    <comment authorId="0" ref="DT299">
      <text/>
    </comment>
    <comment authorId="0" ref="G301">
      <text/>
    </comment>
    <comment authorId="0" ref="I303">
      <text/>
    </comment>
    <comment authorId="0" ref="A304">
      <text/>
    </comment>
    <comment authorId="0" ref="U304">
      <text/>
    </comment>
    <comment authorId="0" ref="Y304">
      <text/>
    </comment>
    <comment authorId="0" ref="AQ304">
      <text/>
    </comment>
    <comment authorId="0" ref="BO304">
      <text/>
    </comment>
    <comment authorId="0" ref="DJ304">
      <text/>
    </comment>
    <comment authorId="0" ref="DL304">
      <text/>
    </comment>
    <comment authorId="0" ref="DS304">
      <text/>
    </comment>
    <comment authorId="0" ref="EC304">
      <text/>
    </comment>
    <comment authorId="0" ref="ED304">
      <text/>
    </comment>
    <comment authorId="0" ref="EE304">
      <text/>
    </comment>
    <comment authorId="0" ref="ES304">
      <text/>
    </comment>
    <comment authorId="0" ref="FM304">
      <text/>
    </comment>
    <comment authorId="0" ref="FS304">
      <text/>
    </comment>
    <comment authorId="0" ref="GC304">
      <text/>
    </comment>
    <comment authorId="0" ref="HD304">
      <text/>
    </comment>
    <comment authorId="0" ref="HS304">
      <text/>
    </comment>
    <comment authorId="0" ref="HV304">
      <text/>
    </comment>
    <comment authorId="0" ref="HW304">
      <text/>
    </comment>
    <comment authorId="0" ref="HX304">
      <text/>
    </comment>
    <comment authorId="0" ref="CG305">
      <text/>
    </comment>
    <comment authorId="0" ref="CK305">
      <text/>
    </comment>
    <comment authorId="0" ref="HT305">
      <text/>
    </comment>
    <comment authorId="0" ref="JJ305">
      <text/>
    </comment>
    <comment authorId="0" ref="C307">
      <text/>
    </comment>
    <comment authorId="0" ref="I307">
      <text/>
    </comment>
    <comment authorId="0" ref="T307">
      <text/>
    </comment>
    <comment authorId="0" ref="AA307">
      <text/>
    </comment>
    <comment authorId="0" ref="A308">
      <text/>
    </comment>
    <comment authorId="0" ref="AG308">
      <text/>
    </comment>
    <comment authorId="0" ref="BN308">
      <text/>
    </comment>
    <comment authorId="0" ref="DA308">
      <text/>
    </comment>
    <comment authorId="0" ref="FV308">
      <text/>
    </comment>
    <comment authorId="0" ref="GN308">
      <text/>
    </comment>
    <comment authorId="0" ref="GS308">
      <text/>
    </comment>
    <comment authorId="0" ref="I319">
      <text/>
    </comment>
    <comment authorId="0" ref="A322">
      <text/>
    </comment>
    <comment authorId="0" ref="E322">
      <text/>
    </comment>
    <comment authorId="0" ref="F322">
      <text/>
    </comment>
    <comment authorId="0" ref="A323">
      <text/>
    </comment>
    <comment authorId="0" ref="G323">
      <text/>
    </comment>
    <comment authorId="0" ref="A327">
      <text/>
    </comment>
    <comment authorId="0" ref="I327">
      <text/>
    </comment>
    <comment authorId="0" ref="I332">
      <text/>
    </comment>
    <comment authorId="0" ref="E334">
      <text/>
    </comment>
    <comment authorId="0" ref="G335">
      <text/>
    </comment>
    <comment authorId="0" ref="I337">
      <text/>
    </comment>
    <comment authorId="0" ref="FY343">
      <text/>
    </comment>
    <comment authorId="0" ref="I347">
      <text/>
    </comment>
    <comment authorId="0" ref="M351">
      <text/>
    </comment>
    <comment authorId="0" ref="AK351">
      <text/>
    </comment>
    <comment authorId="0" ref="AY351">
      <text/>
    </comment>
    <comment authorId="0" ref="CG351">
      <text/>
    </comment>
    <comment authorId="0" ref="CN351">
      <text/>
    </comment>
    <comment authorId="0" ref="EM351">
      <text/>
    </comment>
    <comment authorId="0" ref="GO351">
      <text/>
    </comment>
    <comment authorId="0" ref="HJ351">
      <text/>
    </comment>
    <comment authorId="0" ref="HM351">
      <text/>
    </comment>
    <comment authorId="0" ref="JB351">
      <text/>
    </comment>
  </commentList>
</comments>
</file>

<file path=xl/sharedStrings.xml><?xml version="1.0" encoding="utf-8"?>
<sst xmlns="http://schemas.openxmlformats.org/spreadsheetml/2006/main" count="1265" uniqueCount="694">
  <si>
    <t>ITEM</t>
  </si>
  <si>
    <t>Supplier</t>
  </si>
  <si>
    <t>Prod #</t>
  </si>
  <si>
    <t>HOW SUPPLIED [amt]</t>
  </si>
  <si>
    <t>Early AM</t>
  </si>
  <si>
    <t>NF for 3 days</t>
  </si>
  <si>
    <t>PF/F for 3 days</t>
  </si>
  <si>
    <t>HS for 3 days</t>
  </si>
  <si>
    <t>Effective Per person "daily" Qty</t>
  </si>
  <si>
    <t>5-Loxin [mg]</t>
  </si>
  <si>
    <t>Acai [mg]</t>
  </si>
  <si>
    <t>Acerola juice powder [mg]</t>
  </si>
  <si>
    <t>AHCC [mg]</t>
  </si>
  <si>
    <t>Alanine [mg]</t>
  </si>
  <si>
    <t>Allicin [mcg]</t>
  </si>
  <si>
    <t>Alpha Carotene [mcg]</t>
  </si>
  <si>
    <t>Amylase, Protease, Cellulase &amp; Lipase (tot) [mg]</t>
  </si>
  <si>
    <t>Andrograph extract (Andrographis paniculata)</t>
  </si>
  <si>
    <t>Anthocyanidins [mg]</t>
  </si>
  <si>
    <t>Anthocyanins [mg]</t>
  </si>
  <si>
    <t>Apolactoferrim (from bovine whey) [mg]</t>
  </si>
  <si>
    <t>Arginine [mg]</t>
  </si>
  <si>
    <t>Artichoke (cynara scolymus)  leaf pwdr &amp; extract [mg]</t>
  </si>
  <si>
    <t>Ashwagandha extract (root &amp; leaves; Withania somnifera)  [mg]</t>
  </si>
  <si>
    <t>Aspartic acid [mg]</t>
  </si>
  <si>
    <t>Aspirin [mg]</t>
  </si>
  <si>
    <t>Astaxanthin [mcg]</t>
  </si>
  <si>
    <t>Astragalocides [mg]</t>
  </si>
  <si>
    <t>Avena Sativa [mg]</t>
  </si>
  <si>
    <t>Bacopa Whole plant exract [mg]</t>
  </si>
  <si>
    <t>Barley Sprout powder [mg]</t>
  </si>
  <si>
    <t>Basil, Holy (Ocimum sanctum) (leaf) extracts [mg]</t>
  </si>
  <si>
    <t>Berberine [mg]</t>
  </si>
  <si>
    <t>Beta-Carotene (Vit A, carotenoids) [IU]</t>
  </si>
  <si>
    <t>Beta Glucan [mg]</t>
  </si>
  <si>
    <t>BHA &amp; BHT [mg]</t>
  </si>
  <si>
    <t>Bioflavanoids, Total</t>
  </si>
  <si>
    <t>Biotin [mcg]</t>
  </si>
  <si>
    <t>Black cohosh extract, pwd'd (Cimiicifuga racemosa) w.5% triterpene glycosides [mg]</t>
  </si>
  <si>
    <t>Boron [mg]</t>
  </si>
  <si>
    <t>Broccoli concentrate (source of sulforaphane) [mg]</t>
  </si>
  <si>
    <t>Bromelain [mg]</t>
  </si>
  <si>
    <t>Calcium [mg]</t>
  </si>
  <si>
    <t>Calendula officinalis (marigold) [mg]</t>
  </si>
  <si>
    <t>Acetyl-L-carnitine [mg] from ALC Hcl</t>
  </si>
  <si>
    <t>Acetyl-L-carnitine [mg] from arginate di Hcl</t>
  </si>
  <si>
    <t>L-Carnitine [mg]</t>
  </si>
  <si>
    <t>Propionyl-L-Carnitine [mg] from glyciine PLC Hcl</t>
  </si>
  <si>
    <t>Carnosine [mg]</t>
  </si>
  <si>
    <t>Cat's Claw (Uncaria tomentosa) (inner bark)  [mg]</t>
  </si>
  <si>
    <t>Polyphenol catechins (other)  [mg]</t>
  </si>
  <si>
    <t>Cernitin (Secale cereale L.) [mg]</t>
  </si>
  <si>
    <t>Chlorogenic acid [mg]</t>
  </si>
  <si>
    <t>Chlorophyllin [mg]</t>
  </si>
  <si>
    <t>Choline [mg]</t>
  </si>
  <si>
    <t>Chromium [mcg]</t>
  </si>
  <si>
    <t>Chrysin [mg]</t>
  </si>
  <si>
    <t>Cinnamon water extract [mg]</t>
  </si>
  <si>
    <t>Cocoa extract (as Cocoa Gold) [mg]</t>
  </si>
  <si>
    <t>Coenzyme Q10 [mg]</t>
  </si>
  <si>
    <t>Copper (amino acid chelate) [mg]</t>
  </si>
  <si>
    <t>Cordyceps Extract (Cordyceps sinensis) [mg]</t>
  </si>
  <si>
    <t>Corosolic acid [mg]</t>
  </si>
  <si>
    <t>Cranberry concentrate [mg]</t>
  </si>
  <si>
    <t>Creatine monohydrate [mg]</t>
  </si>
  <si>
    <t>Curcuminoids (from turmeric) [mg]</t>
  </si>
  <si>
    <t>Cystine [mg]</t>
  </si>
  <si>
    <t>N-acetyl-cysteine [mg]</t>
  </si>
  <si>
    <t>cytidine-5-diphophocholine (CDP choline) [mg]</t>
  </si>
  <si>
    <t>D-Mannose [mg]</t>
  </si>
  <si>
    <t>Daidzein &amp; precursor isoform daidzin [mg]</t>
  </si>
  <si>
    <t>Damina leaf &amp; stem [mg]</t>
  </si>
  <si>
    <t>Deprenyl [mg]</t>
  </si>
  <si>
    <t>DHA (docosahexaenoic acid) [mg]</t>
  </si>
  <si>
    <t>DHEA (dehydroepiandrosterone) [mg]</t>
  </si>
  <si>
    <t>DHEA -7-Keto [mg]</t>
  </si>
  <si>
    <t>Dilaurylthiodipropionate [mg]</t>
  </si>
  <si>
    <t>DIM (Di-indolyl-methane) [mg]</t>
  </si>
  <si>
    <t>Diosmin [mg]</t>
  </si>
  <si>
    <t>DMAE [mg]</t>
  </si>
  <si>
    <t>Dong quai extract, pwd'd (Angelica sinensis) 1% Ligustilide [mg] </t>
  </si>
  <si>
    <t>Echinacea purpurea leaf &amp; stem extract [mg]</t>
  </si>
  <si>
    <t>EDTA [mg]</t>
  </si>
  <si>
    <t>Ellagic acid (32% from rasberry &amp; pomegranate extract) [mg]</t>
  </si>
  <si>
    <t>Eleuthero (Eleutherococcus senticosus) root extract [mg]</t>
  </si>
  <si>
    <t>Enzogenol (New Zeland pinebark extract) [mg]</t>
  </si>
  <si>
    <t>EPA (eicosapentaenoic acid) [mg]</t>
  </si>
  <si>
    <t>Epigallocatechin gallate (EGCG) [mg]</t>
  </si>
  <si>
    <t>Epimedium extract (epimedium sagittatum) [mg[</t>
  </si>
  <si>
    <t>Fisetin [from (Rhus succedanea L.) extract (stem] [mg]</t>
  </si>
  <si>
    <t>Flavonoids, combined [mg]</t>
  </si>
  <si>
    <t>Flavanols &amp; Flavanones [mg]</t>
  </si>
  <si>
    <t>Flavonols &amp; Flavones [mg]</t>
  </si>
  <si>
    <t>Folate (as 5-Methyltetrahydrofolic acid (5-MTHF)) [mcg]</t>
  </si>
  <si>
    <t>Folic acid [mcg]</t>
  </si>
  <si>
    <t>Fo-Ti Powder (Polyganum multiflorum -root) [mg]</t>
  </si>
  <si>
    <t>Fruitberry Complex [mg]</t>
  </si>
  <si>
    <t>Fucoidan [mg] </t>
  </si>
  <si>
    <t>GABA (gamma-amino butyric acid) [mg]</t>
  </si>
  <si>
    <t>N-acetyl-galactosamine [mg]</t>
  </si>
  <si>
    <t>Gallic acid  [mg]</t>
  </si>
  <si>
    <t>Gallo ellagic tannins [mg]</t>
  </si>
  <si>
    <t>Garlic, aged extract powder [mg]</t>
  </si>
  <si>
    <t>Genistein &amp; precursor isoform genistin [mg]</t>
  </si>
  <si>
    <t>Gingerols, zingiberene, etc of ginger [mg]</t>
  </si>
  <si>
    <t>Gingko Biloba (24% glycosides, 6% T. Lactones) [mg]</t>
  </si>
  <si>
    <t>Ginseng (Panax), whole root equiv [mg]</t>
  </si>
  <si>
    <t>GLA (gamma-linolenic acid) [mg]</t>
  </si>
  <si>
    <t>D-glucarate [mg]</t>
  </si>
  <si>
    <t>Superoxide Dismutase/Gliadin Complex (GliSODin®) [mg]</t>
  </si>
  <si>
    <t>Glucosamine, N-acetyl [mg]</t>
  </si>
  <si>
    <t>Glucosamine, sulfate [mg]</t>
  </si>
  <si>
    <t>Glucuronic acid [mg]</t>
  </si>
  <si>
    <t>Glutamine [mg]</t>
  </si>
  <si>
    <t>Glycerylphosphorylcholine (GPC) [mg]</t>
  </si>
  <si>
    <t>Glycine [mg]</t>
  </si>
  <si>
    <t>Glycine Propionyl-L-Carnitine Hcl [mg]</t>
  </si>
  <si>
    <t>Glycitein &amp; precursor isoform glycitin [mg]</t>
  </si>
  <si>
    <t>Grifola Frondosa [mg]</t>
  </si>
  <si>
    <t>HCA (hydroxycitric acid) [mg]</t>
  </si>
  <si>
    <t>Hesperidins [mg]</t>
  </si>
  <si>
    <t>Hibiscus sbdriffa (extract) [mg]</t>
  </si>
  <si>
    <t>Histidine [mg]</t>
  </si>
  <si>
    <t>Horse Chestnut seed (Aesculus hippocastanum) [mg]</t>
  </si>
  <si>
    <t>Indole-3-Carbinol [mg]</t>
  </si>
  <si>
    <t>Inosine (hypoxanthine ribose) [mg]</t>
  </si>
  <si>
    <t>Inositol [mg]</t>
  </si>
  <si>
    <t>IP-6 (Inositol heaphosphate) [mg]</t>
  </si>
  <si>
    <t>Iodine (potassium iodide) [mcg]</t>
  </si>
  <si>
    <t>Iron [mg]</t>
  </si>
  <si>
    <t>Irvingia gabonensis [mg]</t>
  </si>
  <si>
    <t>L-Arabinose [mg]</t>
  </si>
  <si>
    <t>L-isoleucine [mg]</t>
  </si>
  <si>
    <t>L-leucine [mg]</t>
  </si>
  <si>
    <t>L-Lysine [mg]</t>
  </si>
  <si>
    <t>Licorice root (Glycyrrhiza glabra) [mg]</t>
  </si>
  <si>
    <t>d-Limonene [mg]</t>
  </si>
  <si>
    <t>Lemon balm (Melissa officinalis) [mg]</t>
  </si>
  <si>
    <t>Lutein [mg]</t>
  </si>
  <si>
    <t>Luteolin [mg]</t>
  </si>
  <si>
    <t>Lycium barbarum [g] (aka Lycii fructus)</t>
  </si>
  <si>
    <t>Lycopene (tomato extract) [mg]</t>
  </si>
  <si>
    <t>Maca (Lepidium meyenii) (root) [mg]</t>
  </si>
  <si>
    <t>Magnesium (elemental) [mg]</t>
  </si>
  <si>
    <t>Maitake Mulhroom Extract (Grifola frondosa) [mg]</t>
  </si>
  <si>
    <t>Manganese (elemental) [mg]</t>
  </si>
  <si>
    <t>Melatonin [mg]</t>
  </si>
  <si>
    <t>Metformin (mg)</t>
  </si>
  <si>
    <t>Methionine [mg]</t>
  </si>
  <si>
    <t>Methyl-sulfonyl-methane (MSM) [mg]</t>
  </si>
  <si>
    <t>Molybdenum (sodium molybdate) [mcg]</t>
  </si>
  <si>
    <t>Muira puama (Ptychopetalum olacoides), powdered extract (stem) [mg]</t>
  </si>
  <si>
    <t>Myrciaria dubia (Camu Camu extract) [mg]</t>
  </si>
  <si>
    <t>Nasturtium officinale [mg]</t>
  </si>
  <si>
    <t>Nattokinase [fibrolytic units]</t>
  </si>
  <si>
    <t>Nettle leaf, concentrated extract  (urtica diocia) [mg]</t>
  </si>
  <si>
    <t>Nettle root extract [mg]</t>
  </si>
  <si>
    <t>Nexrutine (Phellodendron amurense) [mg]</t>
  </si>
  <si>
    <t>Noni (Morinda citrifolia) [g]</t>
  </si>
  <si>
    <t>Norway spruce (Picea abies) lignan extract (knot wood)[mg]</t>
  </si>
  <si>
    <t>Olive fruit extract [mg]</t>
  </si>
  <si>
    <t>Olive leaf extract [mg]</t>
  </si>
  <si>
    <t>Origanum vulgare [mg]</t>
  </si>
  <si>
    <t>Ornithine [gm]</t>
  </si>
  <si>
    <t>Ornithine alpha-ketoglutamate [mg]</t>
  </si>
  <si>
    <t>PABA (paraaminobenzoic acid) [mg]</t>
  </si>
  <si>
    <t>PEAK ATP [mg]</t>
  </si>
  <si>
    <t>Phaseolus Vulgaris (white kidney bean extract) [mg]</t>
  </si>
  <si>
    <t>Phenylalanine [mg]</t>
  </si>
  <si>
    <t>Phosphatidic acid [mg]</t>
  </si>
  <si>
    <t>Phosphatidylcholine [mg]</t>
  </si>
  <si>
    <t>Phophatidylethanolamine [mg]</t>
  </si>
  <si>
    <t>Phosphatidylinositol [mg]</t>
  </si>
  <si>
    <t>Phosphatidylserine [mg]</t>
  </si>
  <si>
    <t>Phosphorous [mg]</t>
  </si>
  <si>
    <t>Phytosterols [mg]</t>
  </si>
  <si>
    <t>Piperine (black powder extract) [mg]</t>
  </si>
  <si>
    <t>Polyphenols (Total) [mg]</t>
  </si>
  <si>
    <t>Polypodium leucotomos [mg]</t>
  </si>
  <si>
    <t>Pomegranate extract [mg]</t>
  </si>
  <si>
    <t>Potassium (elemental) [mg]</t>
  </si>
  <si>
    <t>PPC (polyenylphosphatidycholine)  [mg]</t>
  </si>
  <si>
    <t>Pregnenolone [mg]</t>
  </si>
  <si>
    <t>Proanthocyanidins [mg]</t>
  </si>
  <si>
    <t>Proline [mg]</t>
  </si>
  <si>
    <t>Propolis Extract [mg]</t>
  </si>
  <si>
    <t>Propolmannan (Amorphophalius konjac K.) [mg]</t>
  </si>
  <si>
    <t>Pterostilbene, -trans [mg]</t>
  </si>
  <si>
    <t>Punicalagins [mg]</t>
  </si>
  <si>
    <t>Punicic Acid [mg]</t>
  </si>
  <si>
    <t>L-Pyroglutamic acid [mg]</t>
  </si>
  <si>
    <t>Pyrroloquinoline quinone disodium salt [m]</t>
  </si>
  <si>
    <t>Pyruvate [mg]</t>
  </si>
  <si>
    <t>Quercetin [mg]</t>
  </si>
  <si>
    <t>r-Lipoic Acid [mg]</t>
  </si>
  <si>
    <t>Resveratrol [mg]</t>
  </si>
  <si>
    <t>Rhodiola root extract [mg]</t>
  </si>
  <si>
    <t>D-Ribose [mcg]</t>
  </si>
  <si>
    <t>RNA (ribonucleic acid)  [mg]</t>
  </si>
  <si>
    <t>Rose Hips [mg]</t>
  </si>
  <si>
    <t>Rosmarinus officinalis [mg]</t>
  </si>
  <si>
    <t>Rutin [mg]</t>
  </si>
  <si>
    <t>S-Adenosyl-Methionine [mg]</t>
  </si>
  <si>
    <t>Saffron (Crocus sativus L.)Extract [mg]</t>
  </si>
  <si>
    <t>Sambucus Nigra [mg]</t>
  </si>
  <si>
    <t>Saw Palmetto berry [mg]</t>
  </si>
  <si>
    <t>Sea Buckthorn (Hippophae rhamnoides) [mg]</t>
  </si>
  <si>
    <t>Selenium (Selenodiglutathione) [mcg]</t>
  </si>
  <si>
    <t>Selenium (L-se-Methylselenocysteine) [mcg]</t>
  </si>
  <si>
    <t>Selenium (selenomethionine) [mcg]</t>
  </si>
  <si>
    <t>Selenium (sodium selenate) [mcg]</t>
  </si>
  <si>
    <t>Serine [mg]</t>
  </si>
  <si>
    <t>Sesame lignans (60% sesamin) [mg]</t>
  </si>
  <si>
    <t>Silibinin [mg]</t>
  </si>
  <si>
    <t>(Iso)Silybinin-B [mg]</t>
  </si>
  <si>
    <t>Silica/Silicon [mg]</t>
  </si>
  <si>
    <t>Silymarin [mg]</t>
  </si>
  <si>
    <t>SODzyme [mg]</t>
  </si>
  <si>
    <t>Sodium [mg]</t>
  </si>
  <si>
    <t>Soy, fermented  (soynatto) [mg]</t>
  </si>
  <si>
    <t>Soy Select Soybean 70:1 extract [mg]</t>
  </si>
  <si>
    <t>Strontium (as strontium citrate) [mg]</t>
  </si>
  <si>
    <t>Taurine [mg]</t>
  </si>
  <si>
    <t>Theaflavins [mg]</t>
  </si>
  <si>
    <t>L-Theanine [mg]</t>
  </si>
  <si>
    <t>Thiodipropionic acid [mg]</t>
  </si>
  <si>
    <t>Threonine [mg]</t>
  </si>
  <si>
    <t>Tribulus terrestris [mg]</t>
  </si>
  <si>
    <t>Trimethylglycine (TMG) [mg]</t>
  </si>
  <si>
    <t>Tryptophan [mg]</t>
  </si>
  <si>
    <t>L-Tyrosine [mg]</t>
  </si>
  <si>
    <t>L-valine [mg]</t>
  </si>
  <si>
    <t>Ursolic Acid [mg]</t>
  </si>
  <si>
    <t>Vanadium [mg]</t>
  </si>
  <si>
    <t>Vinpocetine [mg]</t>
  </si>
  <si>
    <t>Vitamin A (retinol acetate) [IU]</t>
  </si>
  <si>
    <t>Vitamin B1 (Benfotiamine) [mg]</t>
  </si>
  <si>
    <t>Vitamin B1 (thiamine) [mg]</t>
  </si>
  <si>
    <t>Vitamin B2 (riboflavin) [mg]</t>
  </si>
  <si>
    <t>Vitamin B3 (Niacin) [mg]</t>
  </si>
  <si>
    <t>Vitamin B3 (Niacinamide)  [mg]</t>
  </si>
  <si>
    <t>Vitamin B5 (Pantethine) ([mg]</t>
  </si>
  <si>
    <t>Vitamin B5 (from calcium pantothenate) [mg]</t>
  </si>
  <si>
    <t>Vitamin B6 (Pyrridoxal 5-phosphate) [mg]</t>
  </si>
  <si>
    <t>Vitamin B6 (Pyridoxamine) [mg]</t>
  </si>
  <si>
    <t>Vitamin B6 (pyidoxine) [mg]</t>
  </si>
  <si>
    <t>Vitamin B12 (cyanocobalamin) [mcg]</t>
  </si>
  <si>
    <t>Vitamin B12 (hydroxyl cobalamin) [mcg]</t>
  </si>
  <si>
    <t>Vitamin B12 (methylcobalamin) [mcg]</t>
  </si>
  <si>
    <t>Vitamin B12 (ion exchange resin) [mcg]</t>
  </si>
  <si>
    <t>Vitamin C (ascorbic acid, Ca, Mg, niacinamide, ascorbate, acerola juice powder) [mg]</t>
  </si>
  <si>
    <t>Vitamin C (Ascorbyl Palmitate 42% Vit C) [mg]</t>
  </si>
  <si>
    <t>Vitamin D3 (Cholecalciferol) [IU]</t>
  </si>
  <si>
    <t>Vitamin E (d-alpha tocopherol succinate) [IU]</t>
  </si>
  <si>
    <t>Vitamin E (d-alpha tocopherol) [IU]</t>
  </si>
  <si>
    <t>Vitamin E (Gamma tocopherol) [mg]</t>
  </si>
  <si>
    <t>Vitamin E (delta tcopherol) [mg]</t>
  </si>
  <si>
    <t>Viatmin E (beta tocopherol) [mg]</t>
  </si>
  <si>
    <t>Vitamin E (gamma tocotrienol) [mg]</t>
  </si>
  <si>
    <t>Vitamin E (Delta tocotrienol) [mg]</t>
  </si>
  <si>
    <t>Vitamin E (Alpha tocotrienol) [mg]</t>
  </si>
  <si>
    <t>Vitamin E (Beta tocotrienol) [mg]</t>
  </si>
  <si>
    <t>Vitamin K1 [mcg]</t>
  </si>
  <si>
    <t>Vitamin K2 [mcg]</t>
  </si>
  <si>
    <t>Vitex extract, pwd'd (Vitex agnus-castus) 5% vitexicarpin [mg]</t>
  </si>
  <si>
    <t>Wasabi powder [mg]</t>
  </si>
  <si>
    <t>Watercress extract (4:1) [mg]</t>
  </si>
  <si>
    <t>Whey Protein isolate [mg]</t>
  </si>
  <si>
    <t>Wolfberry (Lycium barbarum) extrace [mg]</t>
  </si>
  <si>
    <t>Yohimbine [mg]</t>
  </si>
  <si>
    <t>Zeaxanthin [mcg]</t>
  </si>
  <si>
    <t>Zinc (elemental) [mg]</t>
  </si>
  <si>
    <t>5-Loxin</t>
  </si>
  <si>
    <t>75 mg, 100 caps</t>
  </si>
  <si>
    <t>Acai Berry, freeze dried fruit</t>
  </si>
  <si>
    <t>90 grams</t>
  </si>
  <si>
    <t>Acetyl-l-carnitine, Optimized w/ Glycocarn</t>
  </si>
  <si>
    <t>60 capsules</t>
  </si>
  <si>
    <t>Agave Digestive-Immune Support</t>
  </si>
  <si>
    <t>360g</t>
  </si>
  <si>
    <t>AHCC</t>
  </si>
  <si>
    <t>500 mg, 30 caps</t>
  </si>
  <si>
    <t>Aloe Gold</t>
  </si>
  <si>
    <t>32 oz; 960ml</t>
  </si>
  <si>
    <t>Arthro-Immune Joint Support</t>
  </si>
  <si>
    <t>Arthromax w/ Theaflavin &amp; Fruitex B</t>
  </si>
  <si>
    <t>120 capsules</t>
  </si>
  <si>
    <t>Artichoke Leaf Extract</t>
  </si>
  <si>
    <t>500 mg, 180 caps</t>
  </si>
  <si>
    <t>Ashwagandha Extract</t>
  </si>
  <si>
    <t>125 mg, 60 caps</t>
  </si>
  <si>
    <t>Aspirin, Low Dose</t>
  </si>
  <si>
    <t>81mg</t>
  </si>
  <si>
    <t>Astraglus Root alcohol-free</t>
  </si>
  <si>
    <t>60 ml; 30 gtts/svg</t>
  </si>
  <si>
    <t>Astragalus Root Extract</t>
  </si>
  <si>
    <t>60 caps</t>
  </si>
  <si>
    <t>?</t>
  </si>
  <si>
    <t>Avena Sativa</t>
  </si>
  <si>
    <t>492mg</t>
  </si>
  <si>
    <t>B1 Powder (Thiamine)</t>
  </si>
  <si>
    <t>100 grams pwdr</t>
  </si>
  <si>
    <t>B1 Caps</t>
  </si>
  <si>
    <t>500mg</t>
  </si>
  <si>
    <t>B2 Caps</t>
  </si>
  <si>
    <t>100mg</t>
  </si>
  <si>
    <t>B5 Powder (Pantothenic Acid)</t>
  </si>
  <si>
    <t>100 grams</t>
  </si>
  <si>
    <t>B12 Eligen</t>
  </si>
  <si>
    <t>100mcg, 30 tabs</t>
  </si>
  <si>
    <t>Bacopa Extract</t>
  </si>
  <si>
    <t>225 mg, 120 tabs</t>
  </si>
  <si>
    <t>Basil, Holy, Super Critical</t>
  </si>
  <si>
    <t>120 caps</t>
  </si>
  <si>
    <t>Benfotiamine, Mega (w/ Thiamine)</t>
  </si>
  <si>
    <t>250 mg, 120 caps</t>
  </si>
  <si>
    <t>Berry Complete, Enhanced w/ RZD Acai</t>
  </si>
  <si>
    <t>BHT</t>
  </si>
  <si>
    <t>350 mg, 100 caps</t>
  </si>
  <si>
    <t>Bilberry Extract </t>
  </si>
  <si>
    <t>100 mg</t>
  </si>
  <si>
    <t>Biosil</t>
  </si>
  <si>
    <t>30 ml bottle</t>
  </si>
  <si>
    <t>Biotin 1%</t>
  </si>
  <si>
    <t>30 grams</t>
  </si>
  <si>
    <t>Black Currant Juice Extract</t>
  </si>
  <si>
    <t>12 0z (360ml)</t>
  </si>
  <si>
    <t>Black Currant Extract</t>
  </si>
  <si>
    <t>Black Elderberry</t>
  </si>
  <si>
    <t>60 liquicaps</t>
  </si>
  <si>
    <t>Blueberry Extract w/ Pomegranate</t>
  </si>
  <si>
    <t>Bone Strength with KoAct</t>
  </si>
  <si>
    <t>150 capsules</t>
  </si>
  <si>
    <t>Booster, Super LE  </t>
  </si>
  <si>
    <t>100 caps </t>
  </si>
  <si>
    <t>BP Management, Natural</t>
  </si>
  <si>
    <t>60 tabs</t>
  </si>
  <si>
    <t>Branched Chain Amino Acids</t>
  </si>
  <si>
    <t>90 capsules</t>
  </si>
  <si>
    <t>Breast Health</t>
  </si>
  <si>
    <t>Bromelain</t>
  </si>
  <si>
    <t>Calcium Pyruvate</t>
  </si>
  <si>
    <t>750 mg</t>
  </si>
  <si>
    <t>Calorie Control Wgt Mng Formula</t>
  </si>
  <si>
    <t>402 grams</t>
  </si>
  <si>
    <t>CR Mimetic Longevity Formula</t>
  </si>
  <si>
    <t>Carnosine, Super </t>
  </si>
  <si>
    <t>500mg, 90 caps</t>
  </si>
  <si>
    <t>CarnoSoothe</t>
  </si>
  <si>
    <t>Cat's Claw</t>
  </si>
  <si>
    <t>1000mg, 30 caps</t>
  </si>
  <si>
    <t>Cerimides, Skin Restoring</t>
  </si>
  <si>
    <t>30 caps</t>
  </si>
  <si>
    <t>Chlorophyllin w/ zinc</t>
  </si>
  <si>
    <t>100/10 mg, 100 caps</t>
  </si>
  <si>
    <t>Choline Bitartrate </t>
  </si>
  <si>
    <t>300 grams</t>
  </si>
  <si>
    <t>Choline Chloride</t>
  </si>
  <si>
    <t>16 oz liq</t>
  </si>
  <si>
    <t>Chondroitin/Glucosamine</t>
  </si>
  <si>
    <t>100 caps</t>
  </si>
  <si>
    <t>Chondroitin Sulfate</t>
  </si>
  <si>
    <t>400 mg, 60 caps</t>
  </si>
  <si>
    <t>Cinsulin</t>
  </si>
  <si>
    <t>Citrus Bio-Flavanoid</t>
  </si>
  <si>
    <t>100 capsules</t>
  </si>
  <si>
    <t>Cognitex &amp; Neruo Protec w/o Pregnenelone</t>
  </si>
  <si>
    <t>Copper Caps</t>
  </si>
  <si>
    <t>2mg, 100caps</t>
  </si>
  <si>
    <t>CoQ10, Super Absorbable </t>
  </si>
  <si>
    <t>100 mg, 100 capsules</t>
  </si>
  <si>
    <t>CoQ10, Super Ubiquinol </t>
  </si>
  <si>
    <t>100mg,100 gels</t>
  </si>
  <si>
    <t>Cran Max</t>
  </si>
  <si>
    <t>500 mg</t>
  </si>
  <si>
    <t>Creatine Micronized</t>
  </si>
  <si>
    <t>325 grams</t>
  </si>
  <si>
    <t>Cruciferous, Triple Action, Veg Extract w/ CC</t>
  </si>
  <si>
    <t>D3 (Vitamin) w/ Sea-Iodine</t>
  </si>
  <si>
    <t>5000IU, 60 caps</t>
  </si>
  <si>
    <t>Vit D &amp; K w/ Sea-Iodine</t>
  </si>
  <si>
    <t>5K IU +1100mcg; 60 caps</t>
  </si>
  <si>
    <t>D-Mannose with Cranactin (Solaray)</t>
  </si>
  <si>
    <t>7.6 oz (216 grams)</t>
  </si>
  <si>
    <t>Derma Whey</t>
  </si>
  <si>
    <t>DHEA</t>
  </si>
  <si>
    <t>50 mg, 60 caps</t>
  </si>
  <si>
    <t>25 mg, 60 caps</t>
  </si>
  <si>
    <t>DHEA, sublingual</t>
  </si>
  <si>
    <t>25 mg, 100 tabs</t>
  </si>
  <si>
    <t>DHEA Complete</t>
  </si>
  <si>
    <t>25 mg/100mg caps</t>
  </si>
  <si>
    <t>Digestive Enzymes</t>
  </si>
  <si>
    <t>Dilauryl Thiodipropionate</t>
  </si>
  <si>
    <t>D-Ribose</t>
  </si>
  <si>
    <t>150 grams</t>
  </si>
  <si>
    <t>DMAE powder (37%)</t>
  </si>
  <si>
    <t>DMAE Bitartrate (37%)</t>
  </si>
  <si>
    <t>150mg, 200caps</t>
  </si>
  <si>
    <t>DNA Protection Formula</t>
  </si>
  <si>
    <t>Echinacea</t>
  </si>
  <si>
    <t>250mg, 60 capsules</t>
  </si>
  <si>
    <t>EDTA </t>
  </si>
  <si>
    <t>500 mg, 100 caps</t>
  </si>
  <si>
    <t>Endothelial Defense w/ Full Spec Pomegranate</t>
  </si>
  <si>
    <t>EPA/DHA w/ sesame lignans + olive fruit extract</t>
  </si>
  <si>
    <t>120 softgels</t>
  </si>
  <si>
    <t>Estrogen, Natural</t>
  </si>
  <si>
    <t>60 tablets</t>
  </si>
  <si>
    <t>European Leg Solution (Diosmin 95)</t>
  </si>
  <si>
    <t>30 tabs</t>
  </si>
  <si>
    <t>Female Support, Natural </t>
  </si>
  <si>
    <t>FernBlock</t>
  </si>
  <si>
    <t>240 mg, 30 caps</t>
  </si>
  <si>
    <t>Fibrinogen Resist</t>
  </si>
  <si>
    <t>Flora, Ultimate Advanced</t>
  </si>
  <si>
    <t>Florastor</t>
  </si>
  <si>
    <t>250 mg, 50 caps</t>
  </si>
  <si>
    <t>Folic Acid (0.13% pure)</t>
  </si>
  <si>
    <t>30 grams  (0.13%)</t>
  </si>
  <si>
    <t>Fucoidan, Optimize</t>
  </si>
  <si>
    <t>GABA powder </t>
  </si>
  <si>
    <t>Gamma E Tocopherol w/sesame lignans</t>
  </si>
  <si>
    <t>60 softgels</t>
  </si>
  <si>
    <t>Gentle C (Ester C)</t>
  </si>
  <si>
    <t>1000 mg</t>
  </si>
  <si>
    <t>GingerForce</t>
  </si>
  <si>
    <t>60softgels</t>
  </si>
  <si>
    <t>Ginkgo Biloba Capsules </t>
  </si>
  <si>
    <t>120 mg, 325 caps</t>
  </si>
  <si>
    <t>GlucoFit</t>
  </si>
  <si>
    <t>24mg</t>
  </si>
  <si>
    <t>Goji 100</t>
  </si>
  <si>
    <t>32oz (946.3ml)</t>
  </si>
  <si>
    <t>Goldenseal</t>
  </si>
  <si>
    <t>350 mg</t>
  </si>
  <si>
    <t>prn</t>
  </si>
  <si>
    <t>Gotu-Kola (Centella asiatica)</t>
  </si>
  <si>
    <t>475 mg, 90 caps</t>
  </si>
  <si>
    <t>Grape Extract, whole w/ resveratrol</t>
  </si>
  <si>
    <t>Green Tea Extract, Mega  </t>
  </si>
  <si>
    <t>725 mg, 100 capsules</t>
  </si>
  <si>
    <t>HCA</t>
  </si>
  <si>
    <t>250 mg, 90 capsules</t>
  </si>
  <si>
    <t>Hesperidin Complex</t>
  </si>
  <si>
    <t>Hoodia Gordonii</t>
  </si>
  <si>
    <t>30 mg, 60 capsules</t>
  </si>
  <si>
    <t>Ideal Bowel Support, Jarrow</t>
  </si>
  <si>
    <t>Immune Protect w/ Paractin</t>
  </si>
  <si>
    <t>Interplexus Seriphos</t>
  </si>
  <si>
    <t>IP6 w/Inositol (Cellforte)</t>
  </si>
  <si>
    <t>400/110</t>
  </si>
  <si>
    <t>Irvingia, Enhanced</t>
  </si>
  <si>
    <t>150 mg, 60 caps</t>
  </si>
  <si>
    <t>Irvingia, Optimized w/ phase 3 </t>
  </si>
  <si>
    <t>Iron Protein Plus</t>
  </si>
  <si>
    <t>15 mg</t>
  </si>
  <si>
    <t>Jarro-Dophilus Enhanced Probiotic System</t>
  </si>
  <si>
    <t>Korean Angelica (decursinol)</t>
  </si>
  <si>
    <t>250 mg, 60 caps</t>
  </si>
  <si>
    <t>Krill Oil</t>
  </si>
  <si>
    <t>Kyolic Garlic Formula 102 </t>
  </si>
  <si>
    <t>200 capsules</t>
  </si>
  <si>
    <t>Kyolic Reserve</t>
  </si>
  <si>
    <t>Lactoferrin</t>
  </si>
  <si>
    <t>L-Arginine HCl</t>
  </si>
  <si>
    <t>1 kg</t>
  </si>
  <si>
    <t>L-Carnitine</t>
  </si>
  <si>
    <t>L-Methylfolate (Optimized Folate)</t>
  </si>
  <si>
    <t>1000mcg; 100 caps </t>
  </si>
  <si>
    <t>L-Ornithine</t>
  </si>
  <si>
    <t>500 mg,  100caps</t>
  </si>
  <si>
    <t>L-Pyroglutamic Acid</t>
  </si>
  <si>
    <t>L-Theanine</t>
  </si>
  <si>
    <t>100 mg, 60 capsules</t>
  </si>
  <si>
    <t>Lecithin</t>
  </si>
  <si>
    <t>461 grams</t>
  </si>
  <si>
    <t>Life Extension Mix </t>
  </si>
  <si>
    <t>315 tablets</t>
  </si>
  <si>
    <t>Lifeshield Immunity (mushroom blend)</t>
  </si>
  <si>
    <t>Lipid Control, Advanced </t>
  </si>
  <si>
    <t>Lutein Plus Powder </t>
  </si>
  <si>
    <t>150 grams </t>
  </si>
  <si>
    <t>Magnesium Citrate</t>
  </si>
  <si>
    <t>160mg, 100cap</t>
  </si>
  <si>
    <t>Magnesium Oxide</t>
  </si>
  <si>
    <t>1000grams (61% Mg)</t>
  </si>
  <si>
    <t>Maitake SX-fraction</t>
  </si>
  <si>
    <t>90 tablets</t>
  </si>
  <si>
    <t>Mangosteen 100 juice (Garcinia mangostana)</t>
  </si>
  <si>
    <t>32 oz; 946.3 ml</t>
  </si>
  <si>
    <t>Mea Lycopene</t>
  </si>
  <si>
    <t>15 mg, 90 caps</t>
  </si>
  <si>
    <t>Melatonin</t>
  </si>
  <si>
    <t>10 mg, 60 caps</t>
  </si>
  <si>
    <t>Methylcobalamin </t>
  </si>
  <si>
    <t>5 mg, 60 tabs</t>
  </si>
  <si>
    <t>Milk Thistle, Certified European (Silymarin-Silibinins-Isosilybin A &amp; B)</t>
  </si>
  <si>
    <t>Mitochondrial Energy Optimizer</t>
  </si>
  <si>
    <t>MSM </t>
  </si>
  <si>
    <t>N-acetyl cysteine Capsules</t>
  </si>
  <si>
    <t>600 mg</t>
  </si>
  <si>
    <t>Nattoknase</t>
  </si>
  <si>
    <t>36mg, 60 softgels</t>
  </si>
  <si>
    <t>Natural Relief COX-2 Inhib Nexrutine</t>
  </si>
  <si>
    <t>Natural Prostate Formula, w/ 5-Loxin &amp; Lignans</t>
  </si>
  <si>
    <t>Natural Sleep w/o Melatonin</t>
  </si>
  <si>
    <t>Natural Stress Relief</t>
  </si>
  <si>
    <t>Nettle Leaf Extract</t>
  </si>
  <si>
    <t>Niacinamide</t>
  </si>
  <si>
    <t>1000mg, 90 caps</t>
  </si>
  <si>
    <t>No-Flush Niacin</t>
  </si>
  <si>
    <t>Noni Concentrate</t>
  </si>
  <si>
    <t>16 oz</t>
  </si>
  <si>
    <t>Oil of Oregano</t>
  </si>
  <si>
    <t>Olive Leaf Extract</t>
  </si>
  <si>
    <t>500mg, 60 capsules</t>
  </si>
  <si>
    <t>Omega 7, Super Critical </t>
  </si>
  <si>
    <t>30 softgels</t>
  </si>
  <si>
    <t>Only Trace Minerals</t>
  </si>
  <si>
    <t>Optizinc</t>
  </si>
  <si>
    <t>30 mg, 90capsules</t>
  </si>
  <si>
    <t>Panax Ginseng</t>
  </si>
  <si>
    <t>200 mg, 60 caps</t>
  </si>
  <si>
    <t>Pantethine Coenzyme B5 Precursor</t>
  </si>
  <si>
    <t>25 mg, 60 tabs</t>
  </si>
  <si>
    <t>Pantethine (Jarrow)</t>
  </si>
  <si>
    <t>450mg, 60sofgels</t>
  </si>
  <si>
    <t>Pantothenic Acid (Vitamin B5 Caps)</t>
  </si>
  <si>
    <t>500mg, 100 capsules</t>
  </si>
  <si>
    <t>PEAK ATP w/ GlycoCarn </t>
  </si>
  <si>
    <t>Phosphatidylserine Caps  (PS)</t>
  </si>
  <si>
    <t>Pomegranate, Full Spectrum</t>
  </si>
  <si>
    <t>PQQ (Pyrroloquinoline quinone)</t>
  </si>
  <si>
    <t>10 mg, 30 caps</t>
  </si>
  <si>
    <t>Pregnenolone</t>
  </si>
  <si>
    <t>50 mg, 100 capsules</t>
  </si>
  <si>
    <t>PreLox Natural Sex for Men</t>
  </si>
  <si>
    <t>Primal Defense (probiotics)</t>
  </si>
  <si>
    <t>900 mg,180 capsules</t>
  </si>
  <si>
    <t>900 mg, 180 capsules</t>
  </si>
  <si>
    <t>ProGreeens</t>
  </si>
  <si>
    <t>265 grams</t>
  </si>
  <si>
    <t>Propolis Extract</t>
  </si>
  <si>
    <t>500mg, 30caps</t>
  </si>
  <si>
    <t>pTeroPure</t>
  </si>
  <si>
    <t>Pumpkin Seed Extract w/ soy isoflavone</t>
  </si>
  <si>
    <t>Pure Gar Caps </t>
  </si>
  <si>
    <t>Pycnogenol</t>
  </si>
  <si>
    <t>100mg, 60 caps</t>
  </si>
  <si>
    <t>Quercetin, optimized</t>
  </si>
  <si>
    <t>500 mg, 100 capsules</t>
  </si>
  <si>
    <t>R-Lipoic Acid, Super</t>
  </si>
  <si>
    <t>300mg, 60</t>
  </si>
  <si>
    <t>Red Yeast Extended Release</t>
  </si>
  <si>
    <t>600 mg, 30 tabs</t>
  </si>
  <si>
    <t>Regimint</t>
  </si>
  <si>
    <t>60 gelcaps</t>
  </si>
  <si>
    <t>Relora</t>
  </si>
  <si>
    <t>250 mg, 45 caps</t>
  </si>
  <si>
    <t>Resveratrol, Optimized w/ Synergistic Grape-Berry Actives</t>
  </si>
  <si>
    <t>250mg, 60 caps</t>
  </si>
  <si>
    <t>RNA</t>
  </si>
  <si>
    <t>Rhodiola Extract</t>
  </si>
  <si>
    <t>Rosmarinic Acid Extract</t>
  </si>
  <si>
    <t>Saffron, Optimized</t>
  </si>
  <si>
    <t>Sambu Guard</t>
  </si>
  <si>
    <t>15 ml, 12 dosages of 1tbs</t>
  </si>
  <si>
    <t>SAMe (S-Adenosyl-Methionine)</t>
  </si>
  <si>
    <t>400mg, 50 tabs</t>
  </si>
  <si>
    <t>Sellenium Selenite Solution</t>
  </si>
  <si>
    <t> 2 oz (60 ml)</t>
  </si>
  <si>
    <t>Silymarin Mega w/ Isosylibin B</t>
  </si>
  <si>
    <t>SOD-Zyme &amp; Glisodin</t>
  </si>
  <si>
    <t>Soy Isoflavones, Super-Absorbable </t>
  </si>
  <si>
    <t>135 mg</t>
  </si>
  <si>
    <t>Soy Protein Concentrate</t>
  </si>
  <si>
    <t>16 oz (454g)</t>
  </si>
  <si>
    <t>Soy, Ultra Extract</t>
  </si>
  <si>
    <t>Strontium</t>
  </si>
  <si>
    <t>750 mg, 90 caps</t>
  </si>
  <si>
    <t>Super Ascorbate C Powder</t>
  </si>
  <si>
    <t>226.8 g</t>
  </si>
  <si>
    <t>Super K w/ Adv K2 Complex</t>
  </si>
  <si>
    <t>90 softgels</t>
  </si>
  <si>
    <t>Supe MiraForte w/ max Chrysin</t>
  </si>
  <si>
    <t>Taurine Powder</t>
  </si>
  <si>
    <t>Theralac</t>
  </si>
  <si>
    <t>Thiodipropionic Acid</t>
  </si>
  <si>
    <t>TMG Tablets </t>
  </si>
  <si>
    <t>500 mg, 180 tablets</t>
  </si>
  <si>
    <t>TMG Powder</t>
  </si>
  <si>
    <t>50 grams</t>
  </si>
  <si>
    <t>Tocotrienol with Sesame Lignans</t>
  </si>
  <si>
    <t>Tocotrienols, Super Absorbable</t>
  </si>
  <si>
    <t>Tribulus</t>
  </si>
  <si>
    <t>500 mg, 60 capsules</t>
  </si>
  <si>
    <t>Tryptopure (l-tryptophan)</t>
  </si>
  <si>
    <t>500mg 90 caps</t>
  </si>
  <si>
    <t>Vanadyl Sulfate</t>
  </si>
  <si>
    <t>7.5mg, 100 tablets</t>
  </si>
  <si>
    <t>Vascular Protect</t>
  </si>
  <si>
    <t>Venotone</t>
  </si>
  <si>
    <t>Vinpocetine</t>
  </si>
  <si>
    <t>5mg 100tablets</t>
  </si>
  <si>
    <t>Vital Greens</t>
  </si>
  <si>
    <t>319.5 grams</t>
  </si>
  <si>
    <t>Whey Protein</t>
  </si>
  <si>
    <t>1kg; daily in grams</t>
  </si>
  <si>
    <t>Yohimbe Plus</t>
  </si>
  <si>
    <t>120 gelcaps</t>
  </si>
  <si>
    <t>Zeaxanthin, Super w/ Lutein &amp; Astaxanthin</t>
  </si>
  <si>
    <t>Zyflamend</t>
  </si>
  <si>
    <t>NON-LEF ITEMS</t>
  </si>
  <si>
    <t>[grams]</t>
  </si>
  <si>
    <t>4-Androstenediol</t>
  </si>
  <si>
    <t>KS</t>
  </si>
  <si>
    <t>20 grams</t>
  </si>
  <si>
    <t>Acarbose</t>
  </si>
  <si>
    <t>private</t>
  </si>
  <si>
    <t>bulk</t>
  </si>
  <si>
    <t>Acipimox</t>
  </si>
  <si>
    <t>Alagebrium Chloride</t>
  </si>
  <si>
    <t>bulk powder</t>
  </si>
  <si>
    <t>Aminoguanidine</t>
  </si>
  <si>
    <t>Astral Fruit (RGTA Complex)</t>
  </si>
  <si>
    <t>RevGenetics</t>
  </si>
  <si>
    <t>Beta Alanine</t>
  </si>
  <si>
    <t>BPAP</t>
  </si>
  <si>
    <t>80mg; 10 mcg/gtt </t>
  </si>
  <si>
    <t>Citrulline Malate</t>
  </si>
  <si>
    <t>BN</t>
  </si>
  <si>
    <t>500 grams powder</t>
  </si>
  <si>
    <t>Kremezin, generic (AST-120)</t>
  </si>
  <si>
    <t>Lithium Carbonate</t>
  </si>
  <si>
    <t>Rx</t>
  </si>
  <si>
    <t>150mg caps</t>
  </si>
  <si>
    <t>Metformin ER</t>
  </si>
  <si>
    <t>HWP</t>
  </si>
  <si>
    <t>500 mg tabs</t>
  </si>
  <si>
    <t>N-acetyl-L-carnosine</t>
  </si>
  <si>
    <t>NtBHA</t>
  </si>
  <si>
    <t>Piracetam</t>
  </si>
  <si>
    <t>700 grams powder</t>
  </si>
  <si>
    <t>Potassium citrate</t>
  </si>
  <si>
    <t>granules (38% K)</t>
  </si>
  <si>
    <t>granuless (38% K)</t>
  </si>
  <si>
    <t>Pyridoxamine</t>
  </si>
  <si>
    <t>Rhubarb Root powder</t>
  </si>
  <si>
    <t>Rhubarb root powder</t>
  </si>
  <si>
    <t>TOTAL Paul</t>
  </si>
  <si>
    <t>TOTAL - Paul</t>
  </si>
  <si>
    <t>TOTAL Kitty</t>
  </si>
  <si>
    <t>TOTAL - Kitty</t>
  </si>
  <si>
    <t>Per person daily Qty</t>
  </si>
  <si>
    <t>Artichoke (cynara scolymus)  leaf pwdr'd extract [mg]</t>
  </si>
  <si>
    <t>Ashwagandha (Withania somnifera)  [mg]</t>
  </si>
  <si>
    <t>BHA [mg]</t>
  </si>
  <si>
    <t>Acetyl-L-carnitine [mg]</t>
  </si>
  <si>
    <t>Acetyl-L-carnitine arginate [mg]</t>
  </si>
  <si>
    <t>Propionyl-L-Carnitine [mg]</t>
  </si>
  <si>
    <t>Cat's Claw (Uncaria tomentosa) (inner bark) 3% standardized extract [mg]</t>
  </si>
  <si>
    <t>Cernitin [mg]</t>
  </si>
  <si>
    <t>Gallic acid (3%) [mg]</t>
  </si>
  <si>
    <t>Ginseng (Panax quiquefolius) [mg]</t>
  </si>
  <si>
    <t>D-gluarate [mg]</t>
  </si>
  <si>
    <t>Lutein [mcg]</t>
  </si>
  <si>
    <t>Glucophage [mg]</t>
  </si>
  <si>
    <t>Molybdenum (sodium molybdate) {mcg]</t>
  </si>
  <si>
    <t>Soy Natto extract 2000 units nattokinase</t>
  </si>
  <si>
    <t>Nettle leaf, fresh sting (urtica diocia) [mg]</t>
  </si>
  <si>
    <t>Norway spruce (Picea abies) lignan extract [mg]</t>
  </si>
  <si>
    <t>Olive juice extract [mg]</t>
  </si>
  <si>
    <t>Ornithine [mg]</t>
  </si>
  <si>
    <t>PABA [mg]</t>
  </si>
  <si>
    <t>Phosphatidic acid [mg, from soy]</t>
  </si>
  <si>
    <t>Phosphatidylserine [mg, from soy]</t>
  </si>
  <si>
    <t>RNA (ribonucleic acid)powder [gm]</t>
  </si>
  <si>
    <t>Rosmarinus officinalis [mcg]</t>
  </si>
  <si>
    <t>Selenodiglutathione [mcg]</t>
  </si>
  <si>
    <t>Selenium (Se-Methylselenocysteine) [mcg]</t>
  </si>
  <si>
    <t>Silicon [mg]</t>
  </si>
  <si>
    <t>Thiodiproprionic acid [mg]</t>
  </si>
  <si>
    <t>Tyrosine [gm]</t>
  </si>
  <si>
    <t>Vitamin B3 (niacin) [mg]</t>
  </si>
  <si>
    <t>Vitmin B3 (niacinamide) [mg]</t>
  </si>
  <si>
    <t>Vitamin B5 (calcium pantothenate) [mg]</t>
  </si>
  <si>
    <t>Vitamin D3 (Cholecalciferol) [mg]</t>
  </si>
  <si>
    <t>Vitamin E (d-alpha tocopherol acetate) [IU]</t>
  </si>
  <si>
    <t>COLOR CODING</t>
  </si>
  <si>
    <r>
      <t xml:space="preserve">BLUE </t>
    </r>
    <r>
      <rPr>
        <rFont val="Arial"/>
        <family val="2"/>
        <sz val="8"/>
      </rPr>
      <t xml:space="preserve">= items taken only by Paul</t>
    </r>
  </si>
  <si>
    <r>
      <t xml:space="preserve">PINK </t>
    </r>
    <r>
      <rPr>
        <rFont val="Arial"/>
        <family val="2"/>
        <sz val="8"/>
      </rPr>
      <t xml:space="preserve">= items taken only by Kitty </t>
    </r>
  </si>
  <si>
    <r>
      <t xml:space="preserve">Orange</t>
    </r>
    <r>
      <rPr>
        <rFont val="Arial"/>
        <family val="2"/>
        <sz val="8"/>
      </rPr>
      <t xml:space="preserve"> = Newly Discontinued Item; any planned reevaluation status noted </t>
    </r>
  </si>
  <si>
    <t>Using up remaining stock – no reorder</t>
  </si>
</sst>
</file>

<file path=xl/styles.xml><?xml version="1.0" encoding="utf-8"?>
<styleSheet xmlns="http://schemas.openxmlformats.org/spreadsheetml/2006/main">
  <numFmts count="9">
    <numFmt formatCode="GENERAL" numFmtId="164"/>
    <numFmt formatCode="0" numFmtId="165"/>
    <numFmt formatCode="00000" numFmtId="166"/>
    <numFmt formatCode="@" numFmtId="167"/>
    <numFmt formatCode="0.0" numFmtId="168"/>
    <numFmt formatCode="#,##0" numFmtId="169"/>
    <numFmt formatCode="0.00" numFmtId="170"/>
    <numFmt formatCode="0.000" numFmtId="171"/>
    <numFmt formatCode="\$#,##0.00" numFmtId="172"/>
  </numFmts>
  <fonts count="1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8"/>
    </font>
    <font>
      <name val="Arial"/>
      <family val="2"/>
      <b val="true"/>
      <sz val="8"/>
    </font>
    <font>
      <name val="Arial"/>
      <family val="1"/>
      <b val="true"/>
      <color rgb="00000000"/>
      <sz val="8"/>
    </font>
    <font>
      <name val="Arial"/>
      <family val="2"/>
      <b val="true"/>
      <sz val="10"/>
    </font>
    <font>
      <name val="Arial"/>
      <family val="1"/>
      <color rgb="00000000"/>
      <sz val="8"/>
    </font>
    <font>
      <name val="Arial"/>
      <family val="2"/>
      <color rgb="00000000"/>
      <sz val="8"/>
    </font>
    <font>
      <name val="Arial"/>
      <family val="2"/>
      <sz val="8"/>
      <vertAlign val="superscript"/>
    </font>
    <font>
      <name val="Arial"/>
      <family val="2"/>
      <color rgb="00000000"/>
      <sz val="8"/>
      <vertAlign val="superscript"/>
    </font>
    <font>
      <name val="Bitstream Vera Sans"/>
      <family val="2"/>
      <sz val="10"/>
    </font>
    <font>
      <name val="Arial"/>
      <family val="2"/>
      <i val="true"/>
      <sz val="8"/>
    </font>
  </fonts>
  <fills count="15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  <fill>
      <patternFill patternType="solid">
        <fgColor rgb="00FFFF99"/>
        <bgColor rgb="00FFFFCC"/>
      </patternFill>
    </fill>
    <fill>
      <patternFill patternType="solid">
        <fgColor rgb="000066CC"/>
        <bgColor rgb="000084D1"/>
      </patternFill>
    </fill>
    <fill>
      <patternFill patternType="solid">
        <fgColor rgb="00FF00FF"/>
        <bgColor rgb="00FF00FF"/>
      </patternFill>
    </fill>
    <fill>
      <patternFill patternType="solid">
        <fgColor rgb="000084D1"/>
        <bgColor rgb="000066CC"/>
      </patternFill>
    </fill>
    <fill>
      <patternFill patternType="solid">
        <fgColor rgb="000047FF"/>
        <bgColor rgb="000066CC"/>
      </patternFill>
    </fill>
    <fill>
      <patternFill patternType="solid">
        <fgColor rgb="003366FF"/>
        <bgColor rgb="000066CC"/>
      </patternFill>
    </fill>
    <fill>
      <patternFill patternType="solid">
        <fgColor rgb="0083CAFF"/>
        <bgColor rgb="0099CCFF"/>
      </patternFill>
    </fill>
    <fill>
      <patternFill patternType="solid">
        <fgColor rgb="00FF6309"/>
        <bgColor rgb="00FF6600"/>
      </patternFill>
    </fill>
    <fill>
      <patternFill patternType="solid">
        <fgColor rgb="00FF6633"/>
        <bgColor rgb="00FF6309"/>
      </patternFill>
    </fill>
    <fill>
      <patternFill patternType="solid">
        <fgColor rgb="00CCFFFF"/>
        <bgColor rgb="00CCFFFF"/>
      </patternFill>
    </fill>
    <fill>
      <patternFill patternType="solid">
        <fgColor rgb="00FF6600"/>
        <bgColor rgb="00FF6309"/>
      </patternFill>
    </fill>
    <fill>
      <patternFill patternType="solid">
        <fgColor rgb="0099CCFF"/>
        <bgColor rgb="0083CAFF"/>
      </patternFill>
    </fill>
  </fills>
  <borders count="14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medium"/>
      <right style="hair"/>
      <top style="hair"/>
      <bottom style="hair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 style="hair"/>
      <bottom style="hair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hair"/>
      <bottom style="hair"/>
      <diagonal/>
    </border>
    <border diagonalDown="false" diagonalUp="false">
      <left style="thin"/>
      <right/>
      <top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medium"/>
      <right style="thin"/>
      <top/>
      <bottom/>
      <diagonal/>
    </border>
    <border diagonalDown="false" diagonalUp="false">
      <left style="medium"/>
      <right style="thin"/>
      <top/>
      <bottom style="medium"/>
      <diagonal/>
    </border>
    <border diagonalDown="false" diagonalUp="false">
      <left style="thin"/>
      <right style="thin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5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5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4" numFmtId="166" xfId="0"/>
    <xf applyAlignment="true" applyBorder="true" applyFont="true" applyProtection="false" borderId="1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5" numFmtId="164" xfId="0">
      <alignment horizontal="general" indent="0" shrinkToFit="false" textRotation="90" vertical="bottom" wrapText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5" xfId="0">
      <alignment horizontal="general" indent="0" shrinkToFit="false" textRotation="90" vertical="bottom" wrapText="true"/>
    </xf>
    <xf applyAlignment="true" applyBorder="true" applyFont="true" applyProtection="false" borderId="1" fillId="0" fontId="5" numFmtId="164" xfId="0">
      <alignment horizontal="general" indent="0" shrinkToFit="false" textRotation="90" vertical="bottom" wrapText="false"/>
    </xf>
    <xf applyAlignment="true" applyBorder="true" applyFont="true" applyProtection="false" borderId="1" fillId="0" fontId="5" numFmtId="167" xfId="0">
      <alignment horizontal="general" indent="0" shrinkToFit="false" textRotation="90" vertical="bottom" wrapText="true"/>
    </xf>
    <xf applyAlignment="true" applyBorder="true" applyFont="true" applyProtection="false" borderId="1" fillId="2" fontId="5" numFmtId="165" xfId="0">
      <alignment horizontal="general" indent="0" shrinkToFit="false" textRotation="90" vertical="bottom" wrapText="true"/>
    </xf>
    <xf applyAlignment="true" applyBorder="true" applyFont="true" applyProtection="false" borderId="1" fillId="0" fontId="5" numFmtId="167" xfId="0">
      <alignment horizontal="general" indent="0" shrinkToFit="false" textRotation="90" vertical="bottom" wrapText="true"/>
    </xf>
    <xf applyAlignment="true" applyBorder="false" applyFont="true" applyProtection="false" borderId="0" fillId="0" fontId="5" numFmtId="164" xfId="0">
      <alignment horizontal="general" indent="0" shrinkToFit="false" textRotation="90" vertical="bottom" wrapText="true"/>
    </xf>
    <xf applyAlignment="true" applyBorder="true" applyFont="true" applyProtection="false" borderId="1" fillId="2" fontId="5" numFmtId="167" xfId="0">
      <alignment horizontal="general" indent="0" shrinkToFit="false" textRotation="90" vertical="bottom" wrapText="true"/>
    </xf>
    <xf applyAlignment="true" applyBorder="true" applyFont="true" applyProtection="false" borderId="1" fillId="0" fontId="5" numFmtId="166" xfId="0">
      <alignment horizontal="general" indent="0" shrinkToFit="false" textRotation="90" vertical="bottom" wrapText="true"/>
    </xf>
    <xf applyAlignment="true" applyBorder="true" applyFont="true" applyProtection="false" borderId="1" fillId="0" fontId="5" numFmtId="164" xfId="0">
      <alignment horizontal="general" indent="0" shrinkToFit="false" textRotation="90" vertical="bottom" wrapText="true"/>
    </xf>
    <xf applyAlignment="true" applyBorder="true" applyFont="true" applyProtection="false" borderId="1" fillId="0" fontId="7" numFmtId="164" xfId="0">
      <alignment horizontal="general" indent="0" shrinkToFit="false" textRotation="90" vertical="bottom" wrapText="true"/>
    </xf>
    <xf applyAlignment="true" applyBorder="true" applyFont="true" applyProtection="false" borderId="1" fillId="0" fontId="5" numFmtId="165" xfId="0">
      <alignment horizontal="general" indent="0" shrinkToFit="false" textRotation="90" vertical="bottom" wrapText="true"/>
    </xf>
    <xf applyAlignment="true" applyBorder="true" applyFont="true" applyProtection="false" borderId="1" fillId="0" fontId="5" numFmtId="164" xfId="0">
      <alignment horizontal="center" indent="0" shrinkToFit="false" textRotation="90" vertical="bottom" wrapText="true"/>
    </xf>
    <xf applyAlignment="true" applyBorder="true" applyFont="true" applyProtection="false" borderId="1" fillId="0" fontId="5" numFmtId="164" xfId="0">
      <alignment horizontal="left" indent="0" shrinkToFit="false" textRotation="90" vertical="bottom" wrapText="true"/>
    </xf>
    <xf applyAlignment="true" applyBorder="true" applyFont="true" applyProtection="false" borderId="1" fillId="2" fontId="5" numFmtId="164" xfId="0">
      <alignment horizontal="general" indent="0" shrinkToFit="false" textRotation="90" vertical="bottom" wrapText="true"/>
    </xf>
    <xf applyAlignment="true" applyBorder="true" applyFont="true" applyProtection="false" borderId="1" fillId="3" fontId="5" numFmtId="164" xfId="0">
      <alignment horizontal="general" indent="0" shrinkToFit="false" textRotation="90" vertical="bottom" wrapText="true"/>
    </xf>
    <xf applyAlignment="true" applyBorder="true" applyFont="true" applyProtection="false" borderId="1" fillId="3" fontId="5" numFmtId="167" xfId="0">
      <alignment horizontal="general" indent="0" shrinkToFit="false" textRotation="90" vertical="bottom" wrapText="true"/>
    </xf>
    <xf applyAlignment="true" applyBorder="false" applyFont="true" applyProtection="false" borderId="0" fillId="0" fontId="4" numFmtId="166" xfId="0">
      <alignment horizontal="center" indent="0" shrinkToFit="false" textRotation="0" vertical="bottom" wrapText="false"/>
    </xf>
    <xf applyAlignment="false" applyBorder="true" applyFont="true" applyProtection="false" borderId="2" fillId="0" fontId="4" numFmtId="165" xfId="0"/>
    <xf applyAlignment="false" applyBorder="true" applyFont="true" applyProtection="false" borderId="3" fillId="0" fontId="4" numFmtId="164" xfId="0"/>
    <xf applyAlignment="false" applyBorder="false" applyFont="true" applyProtection="false" borderId="0" fillId="0" fontId="8" numFmtId="164" xfId="0"/>
    <xf applyAlignment="false" applyBorder="false" applyFont="true" applyProtection="false" borderId="0" fillId="4" fontId="4" numFmtId="164" xfId="0"/>
    <xf applyAlignment="true" applyBorder="false" applyFont="true" applyProtection="false" borderId="0" fillId="4" fontId="4" numFmtId="166" xfId="0">
      <alignment horizontal="center" indent="0" shrinkToFit="false" textRotation="0" vertical="bottom" wrapText="false"/>
    </xf>
    <xf applyAlignment="false" applyBorder="true" applyFont="true" applyProtection="false" borderId="2" fillId="4" fontId="4" numFmtId="165" xfId="0"/>
    <xf applyAlignment="false" applyBorder="true" applyFont="true" applyProtection="false" borderId="3" fillId="4" fontId="4" numFmtId="164" xfId="0"/>
    <xf applyAlignment="false" applyBorder="false" applyFont="true" applyProtection="false" borderId="0" fillId="4" fontId="4" numFmtId="165" xfId="0"/>
    <xf applyAlignment="false" applyBorder="false" applyFont="true" applyProtection="false" borderId="0" fillId="0" fontId="4" numFmtId="165" xfId="0"/>
    <xf applyAlignment="false" applyBorder="false" applyFont="true" applyProtection="false" borderId="0" fillId="0" fontId="4" numFmtId="166" xfId="0"/>
    <xf applyAlignment="false" applyBorder="false" applyFont="true" applyProtection="false" borderId="0" fillId="5" fontId="4" numFmtId="164" xfId="0"/>
    <xf applyAlignment="true" applyBorder="false" applyFont="true" applyProtection="false" borderId="0" fillId="5" fontId="4" numFmtId="166" xfId="0">
      <alignment horizontal="center" indent="0" shrinkToFit="false" textRotation="0" vertical="bottom" wrapText="false"/>
    </xf>
    <xf applyAlignment="false" applyBorder="true" applyFont="true" applyProtection="false" borderId="2" fillId="5" fontId="4" numFmtId="165" xfId="0"/>
    <xf applyAlignment="false" applyBorder="true" applyFont="true" applyProtection="false" borderId="3" fillId="5" fontId="4" numFmtId="164" xfId="0"/>
    <xf applyAlignment="false" applyBorder="false" applyFont="true" applyProtection="false" borderId="0" fillId="5" fontId="4" numFmtId="165" xfId="0"/>
    <xf applyAlignment="true" applyBorder="true" applyFont="true" applyProtection="false" borderId="4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4" fillId="0" fontId="4" numFmtId="166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5" xfId="0">
      <alignment horizontal="general" indent="0" shrinkToFit="false" textRotation="0" vertical="bottom" wrapText="true"/>
    </xf>
    <xf applyAlignment="false" applyBorder="true" applyFont="true" applyProtection="false" borderId="5" fillId="0" fontId="4" numFmtId="164" xfId="0"/>
    <xf applyAlignment="true" applyBorder="true" applyFont="true" applyProtection="false" borderId="0" fillId="0" fontId="5" numFmtId="164" xfId="0">
      <alignment horizontal="general" indent="0" shrinkToFit="false" textRotation="0" vertical="bottom" wrapText="true"/>
    </xf>
    <xf applyAlignment="true" applyBorder="true" applyFont="true" applyProtection="false" borderId="0" fillId="0" fontId="5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5" numFmtId="167" xfId="0">
      <alignment horizontal="general" indent="0" shrinkToFit="false" textRotation="0" vertical="bottom" wrapText="true"/>
    </xf>
    <xf applyAlignment="true" applyBorder="true" applyFont="true" applyProtection="false" borderId="0" fillId="2" fontId="5" numFmtId="165" xfId="0">
      <alignment horizontal="general" indent="0" shrinkToFit="false" textRotation="0" vertical="bottom" wrapText="true"/>
    </xf>
    <xf applyAlignment="true" applyBorder="true" applyFont="true" applyProtection="false" borderId="0" fillId="0" fontId="5" numFmtId="167" xfId="0">
      <alignment horizontal="general" indent="0" shrinkToFit="false" textRotation="0" vertical="bottom" wrapText="true"/>
    </xf>
    <xf applyAlignment="true" applyBorder="true" applyFont="true" applyProtection="false" borderId="0" fillId="0" fontId="4" numFmtId="165" xfId="0">
      <alignment horizontal="general" indent="0" shrinkToFit="false" textRotation="0" vertical="bottom" wrapText="false"/>
    </xf>
    <xf applyAlignment="false" applyBorder="false" applyFont="true" applyProtection="false" borderId="0" fillId="0" fontId="4" numFmtId="168" xfId="0"/>
    <xf applyAlignment="true" applyBorder="true" applyFont="true" applyProtection="false" borderId="0" fillId="2" fontId="7" numFmtId="167" xfId="0">
      <alignment horizontal="general" indent="0" shrinkToFit="false" textRotation="0" vertical="bottom" wrapText="true"/>
    </xf>
    <xf applyAlignment="true" applyBorder="true" applyFont="true" applyProtection="false" borderId="0" fillId="0" fontId="5" numFmtId="166" xfId="0">
      <alignment horizontal="general" indent="0" shrinkToFit="false" textRotation="0" vertical="bottom" wrapText="true"/>
    </xf>
    <xf applyAlignment="false" applyBorder="false" applyFont="true" applyProtection="false" borderId="0" fillId="0" fontId="4" numFmtId="169" xfId="0"/>
    <xf applyAlignment="true" applyBorder="true" applyFont="true" applyProtection="false" borderId="0" fillId="0" fontId="4" numFmtId="165" xfId="0">
      <alignment horizontal="general" indent="0" shrinkToFit="false" textRotation="0" vertical="bottom" wrapText="true"/>
    </xf>
    <xf applyAlignment="true" applyBorder="true" applyFont="true" applyProtection="false" borderId="0" fillId="0" fontId="5" numFmtId="164" xfId="0">
      <alignment horizontal="general" indent="0" shrinkToFit="false" textRotation="0" vertical="bottom" wrapText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5" numFmtId="165" xfId="0">
      <alignment horizontal="general" indent="0" shrinkToFit="false" textRotation="0" vertical="bottom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0" fillId="2" fontId="5" numFmtId="164" xfId="0">
      <alignment horizontal="general" indent="0" shrinkToFit="false" textRotation="0" vertical="bottom" wrapText="true"/>
    </xf>
    <xf applyAlignment="true" applyBorder="true" applyFont="true" applyProtection="false" borderId="0" fillId="0" fontId="5" numFmtId="165" xfId="0">
      <alignment horizontal="general" indent="0" shrinkToFit="false" textRotation="0" vertical="bottom" wrapText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4" fillId="4" fontId="4" numFmtId="164" xfId="0">
      <alignment horizontal="general" indent="0" shrinkToFit="false" textRotation="0" vertical="bottom" wrapText="true"/>
    </xf>
    <xf applyAlignment="true" applyBorder="true" applyFont="true" applyProtection="false" borderId="4" fillId="4" fontId="4" numFmtId="166" xfId="0">
      <alignment horizontal="center" indent="0" shrinkToFit="false" textRotation="0" vertical="bottom" wrapText="false"/>
    </xf>
    <xf applyAlignment="true" applyBorder="true" applyFont="true" applyProtection="false" borderId="4" fillId="4" fontId="4" numFmtId="165" xfId="0">
      <alignment horizontal="general" indent="0" shrinkToFit="false" textRotation="0" vertical="bottom" wrapText="true"/>
    </xf>
    <xf applyAlignment="false" applyBorder="true" applyFont="true" applyProtection="false" borderId="5" fillId="4" fontId="4" numFmtId="164" xfId="0"/>
    <xf applyAlignment="true" applyBorder="true" applyFont="true" applyProtection="false" borderId="0" fillId="0" fontId="5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4" numFmtId="165" xfId="0">
      <alignment horizontal="general" indent="0" shrinkToFit="false" textRotation="0" vertical="bottom" wrapText="false"/>
    </xf>
    <xf applyAlignment="true" applyBorder="true" applyFont="true" applyProtection="false" borderId="0" fillId="0" fontId="7" numFmtId="167" xfId="0">
      <alignment horizontal="general" indent="0" shrinkToFit="false" textRotation="0" vertical="bottom" wrapText="true"/>
    </xf>
    <xf applyAlignment="true" applyBorder="true" applyFont="true" applyProtection="false" borderId="0" fillId="0" fontId="4" numFmtId="165" xfId="0">
      <alignment horizontal="general" indent="0" shrinkToFit="false" textRotation="0" vertical="bottom" wrapText="true"/>
    </xf>
    <xf applyAlignment="false" applyBorder="false" applyFont="true" applyProtection="false" borderId="0" fillId="0" fontId="4" numFmtId="169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4" fillId="5" fontId="4" numFmtId="164" xfId="0">
      <alignment horizontal="general" indent="0" shrinkToFit="false" textRotation="0" vertical="bottom" wrapText="true"/>
    </xf>
    <xf applyAlignment="true" applyBorder="true" applyFont="true" applyProtection="false" borderId="4" fillId="5" fontId="4" numFmtId="166" xfId="0">
      <alignment horizontal="center" indent="0" shrinkToFit="false" textRotation="0" vertical="bottom" wrapText="false"/>
    </xf>
    <xf applyAlignment="true" applyBorder="true" applyFont="true" applyProtection="false" borderId="4" fillId="5" fontId="4" numFmtId="165" xfId="0">
      <alignment horizontal="general" indent="0" shrinkToFit="false" textRotation="0" vertical="bottom" wrapText="true"/>
    </xf>
    <xf applyAlignment="false" applyBorder="true" applyFont="true" applyProtection="false" borderId="5" fillId="5" fontId="4" numFmtId="164" xfId="0"/>
    <xf applyAlignment="true" applyBorder="true" applyFont="true" applyProtection="false" borderId="6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6" fillId="0" fontId="4" numFmtId="166" xfId="0">
      <alignment horizontal="center" indent="0" shrinkToFit="false" textRotation="0" vertical="bottom" wrapText="false"/>
    </xf>
    <xf applyAlignment="true" applyBorder="true" applyFont="true" applyProtection="false" borderId="6" fillId="0" fontId="4" numFmtId="165" xfId="0">
      <alignment horizontal="general" indent="0" shrinkToFit="false" textRotation="0" vertical="bottom" wrapText="true"/>
    </xf>
    <xf applyAlignment="true" applyBorder="true" applyFont="true" applyProtection="false" borderId="7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4" numFmtId="168" xfId="0">
      <alignment horizontal="general" indent="0" shrinkToFit="false" textRotation="0" vertical="bottom" wrapText="fals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4" numFmtId="167" xfId="0">
      <alignment horizontal="general" indent="0" shrinkToFit="false" textRotation="0" vertical="bottom" wrapText="true"/>
    </xf>
    <xf applyAlignment="true" applyBorder="true" applyFont="true" applyProtection="false" borderId="0" fillId="0" fontId="4" numFmtId="167" xfId="0">
      <alignment horizontal="general" indent="0" shrinkToFit="false" textRotation="0" vertical="bottom" wrapText="true"/>
    </xf>
    <xf applyAlignment="true" applyBorder="true" applyFont="true" applyProtection="false" borderId="0" fillId="0" fontId="4" numFmtId="166" xfId="0">
      <alignment horizontal="general" indent="0" shrinkToFit="false" textRotation="0" vertical="bottom" wrapText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6" fillId="6" fontId="4" numFmtId="164" xfId="0">
      <alignment horizontal="general" indent="0" shrinkToFit="false" textRotation="0" vertical="bottom" wrapText="true"/>
    </xf>
    <xf applyAlignment="true" applyBorder="true" applyFont="true" applyProtection="false" borderId="6" fillId="6" fontId="4" numFmtId="166" xfId="0">
      <alignment horizontal="center" indent="0" shrinkToFit="false" textRotation="0" vertical="bottom" wrapText="false"/>
    </xf>
    <xf applyAlignment="true" applyBorder="true" applyFont="true" applyProtection="false" borderId="6" fillId="6" fontId="4" numFmtId="165" xfId="0">
      <alignment horizontal="general" indent="0" shrinkToFit="false" textRotation="0" vertical="bottom" wrapText="true"/>
    </xf>
    <xf applyAlignment="true" applyBorder="true" applyFont="true" applyProtection="false" borderId="3" fillId="6" fontId="4" numFmtId="164" xfId="0">
      <alignment horizontal="general" indent="0" shrinkToFit="false" textRotation="0" vertical="bottom" wrapText="true"/>
    </xf>
    <xf applyAlignment="true" applyBorder="true" applyFont="true" applyProtection="false" borderId="6" fillId="5" fontId="4" numFmtId="164" xfId="0">
      <alignment horizontal="general" indent="0" shrinkToFit="false" textRotation="0" vertical="bottom" wrapText="true"/>
    </xf>
    <xf applyAlignment="true" applyBorder="true" applyFont="true" applyProtection="false" borderId="6" fillId="5" fontId="4" numFmtId="166" xfId="0">
      <alignment horizontal="center" indent="0" shrinkToFit="false" textRotation="0" vertical="bottom" wrapText="false"/>
    </xf>
    <xf applyAlignment="true" applyBorder="true" applyFont="true" applyProtection="false" borderId="6" fillId="5" fontId="4" numFmtId="165" xfId="0">
      <alignment horizontal="general" indent="0" shrinkToFit="false" textRotation="0" vertical="bottom" wrapText="true"/>
    </xf>
    <xf applyAlignment="true" applyBorder="true" applyFont="true" applyProtection="false" borderId="3" fillId="5" fontId="4" numFmtId="164" xfId="0">
      <alignment horizontal="general" indent="0" shrinkToFit="false" textRotation="0" vertical="bottom" wrapText="true"/>
    </xf>
    <xf applyAlignment="true" applyBorder="true" applyFont="true" applyProtection="false" borderId="3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4" fillId="4" fontId="4" numFmtId="164" xfId="0">
      <alignment horizontal="general" indent="0" shrinkToFit="false" textRotation="0" vertical="top" wrapText="true"/>
    </xf>
    <xf applyAlignment="true" applyBorder="true" applyFont="true" applyProtection="false" borderId="8" fillId="4" fontId="4" numFmtId="164" xfId="0">
      <alignment horizontal="general" indent="0" shrinkToFit="false" textRotation="0" vertical="top" wrapText="true"/>
    </xf>
    <xf applyAlignment="true" applyBorder="true" applyFont="true" applyProtection="false" borderId="8" fillId="4" fontId="4" numFmtId="165" xfId="0">
      <alignment horizontal="general" indent="0" shrinkToFit="false" textRotation="0" vertical="top" wrapText="true"/>
    </xf>
    <xf applyAlignment="true" applyBorder="true" applyFont="true" applyProtection="false" borderId="3" fillId="4" fontId="4" numFmtId="164" xfId="0">
      <alignment horizontal="general" indent="0" shrinkToFit="false" textRotation="0" vertical="top" wrapText="true"/>
    </xf>
    <xf applyAlignment="true" applyBorder="true" applyFont="true" applyProtection="false" borderId="0" fillId="4" fontId="4" numFmtId="168" xfId="0">
      <alignment horizontal="general" indent="0" shrinkToFit="false" textRotation="0" vertical="top" wrapText="true"/>
    </xf>
    <xf applyAlignment="true" applyBorder="true" applyFont="true" applyProtection="false" borderId="0" fillId="0" fontId="4" numFmtId="164" xfId="0">
      <alignment horizontal="general" indent="0" shrinkToFit="false" textRotation="0" vertical="top" wrapText="true"/>
    </xf>
    <xf applyAlignment="true" applyBorder="true" applyFont="true" applyProtection="false" borderId="4" fillId="5" fontId="4" numFmtId="164" xfId="0">
      <alignment horizontal="general" indent="0" shrinkToFit="false" textRotation="0" vertical="top" wrapText="true"/>
    </xf>
    <xf applyAlignment="true" applyBorder="true" applyFont="true" applyProtection="false" borderId="8" fillId="5" fontId="4" numFmtId="164" xfId="0">
      <alignment horizontal="general" indent="0" shrinkToFit="false" textRotation="0" vertical="top" wrapText="true"/>
    </xf>
    <xf applyAlignment="true" applyBorder="true" applyFont="true" applyProtection="false" borderId="8" fillId="5" fontId="4" numFmtId="165" xfId="0">
      <alignment horizontal="general" indent="0" shrinkToFit="false" textRotation="0" vertical="top" wrapText="true"/>
    </xf>
    <xf applyAlignment="true" applyBorder="true" applyFont="true" applyProtection="false" borderId="3" fillId="5" fontId="4" numFmtId="164" xfId="0">
      <alignment horizontal="general" indent="0" shrinkToFit="false" textRotation="0" vertical="top" wrapText="true"/>
    </xf>
    <xf applyAlignment="true" applyBorder="true" applyFont="true" applyProtection="false" borderId="0" fillId="5" fontId="4" numFmtId="168" xfId="0">
      <alignment horizontal="general" indent="0" shrinkToFit="false" textRotation="0" vertical="top" wrapText="true"/>
    </xf>
    <xf applyAlignment="true" applyBorder="true" applyFont="true" applyProtection="false" borderId="6" fillId="0" fontId="4" numFmtId="164" xfId="0">
      <alignment horizontal="general" indent="0" shrinkToFit="false" textRotation="0" vertical="top" wrapText="true"/>
    </xf>
    <xf applyAlignment="true" applyBorder="true" applyFont="true" applyProtection="false" borderId="6" fillId="0" fontId="4" numFmtId="166" xfId="0">
      <alignment horizontal="center" indent="0" shrinkToFit="false" textRotation="0" vertical="bottom" wrapText="false"/>
    </xf>
    <xf applyAlignment="true" applyBorder="true" applyFont="true" applyProtection="false" borderId="9" fillId="0" fontId="4" numFmtId="164" xfId="0">
      <alignment horizontal="general" indent="0" shrinkToFit="false" textRotation="0" vertical="top" wrapText="true"/>
    </xf>
    <xf applyAlignment="true" applyBorder="true" applyFont="true" applyProtection="false" borderId="9" fillId="0" fontId="4" numFmtId="165" xfId="0">
      <alignment horizontal="general" indent="0" shrinkToFit="false" textRotation="0" vertical="top" wrapText="true"/>
    </xf>
    <xf applyAlignment="true" applyBorder="true" applyFont="true" applyProtection="false" borderId="3" fillId="0" fontId="4" numFmtId="164" xfId="0">
      <alignment horizontal="general" indent="0" shrinkToFit="false" textRotation="0" vertical="top" wrapText="true"/>
    </xf>
    <xf applyAlignment="false" applyBorder="false" applyFont="true" applyProtection="false" borderId="0" fillId="0" fontId="4" numFmtId="168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7" fontId="4" numFmtId="164" xfId="0">
      <alignment horizontal="general" indent="0" shrinkToFit="false" textRotation="0" vertical="bottom" wrapText="true"/>
    </xf>
    <xf applyAlignment="true" applyBorder="true" applyFont="true" applyProtection="false" borderId="6" fillId="7" fontId="4" numFmtId="164" xfId="0">
      <alignment horizontal="general" indent="0" shrinkToFit="false" textRotation="0" vertical="top" wrapText="true"/>
    </xf>
    <xf applyAlignment="true" applyBorder="true" applyFont="true" applyProtection="false" borderId="6" fillId="7" fontId="4" numFmtId="166" xfId="0">
      <alignment horizontal="center" indent="0" shrinkToFit="false" textRotation="0" vertical="bottom" wrapText="false"/>
    </xf>
    <xf applyAlignment="true" applyBorder="true" applyFont="true" applyProtection="false" borderId="9" fillId="7" fontId="4" numFmtId="164" xfId="0">
      <alignment horizontal="general" indent="0" shrinkToFit="false" textRotation="0" vertical="top" wrapText="true"/>
    </xf>
    <xf applyAlignment="true" applyBorder="true" applyFont="true" applyProtection="false" borderId="9" fillId="7" fontId="4" numFmtId="165" xfId="0">
      <alignment horizontal="general" indent="0" shrinkToFit="false" textRotation="0" vertical="top" wrapText="true"/>
    </xf>
    <xf applyAlignment="false" applyBorder="false" applyFont="true" applyProtection="false" borderId="0" fillId="7" fontId="4" numFmtId="168" xfId="0"/>
    <xf applyAlignment="true" applyBorder="false" applyFont="true" applyProtection="false" borderId="0" fillId="5" fontId="4" numFmtId="164" xfId="0">
      <alignment horizontal="general" indent="0" shrinkToFit="false" textRotation="0" vertical="bottom" wrapText="true"/>
    </xf>
    <xf applyAlignment="true" applyBorder="true" applyFont="true" applyProtection="false" borderId="6" fillId="5" fontId="4" numFmtId="164" xfId="0">
      <alignment horizontal="general" indent="0" shrinkToFit="false" textRotation="0" vertical="top" wrapText="true"/>
    </xf>
    <xf applyAlignment="true" applyBorder="true" applyFont="true" applyProtection="false" borderId="9" fillId="5" fontId="4" numFmtId="164" xfId="0">
      <alignment horizontal="general" indent="0" shrinkToFit="false" textRotation="0" vertical="top" wrapText="true"/>
    </xf>
    <xf applyAlignment="true" applyBorder="true" applyFont="true" applyProtection="false" borderId="9" fillId="5" fontId="4" numFmtId="165" xfId="0">
      <alignment horizontal="general" indent="0" shrinkToFit="false" textRotation="0" vertical="top" wrapText="true"/>
    </xf>
    <xf applyAlignment="false" applyBorder="false" applyFont="true" applyProtection="false" borderId="0" fillId="5" fontId="4" numFmtId="168" xfId="0"/>
    <xf applyAlignment="true" applyBorder="true" applyFont="true" applyProtection="false" borderId="6" fillId="6" fontId="4" numFmtId="164" xfId="0">
      <alignment horizontal="general" indent="0" shrinkToFit="false" textRotation="0" vertical="top" wrapText="true"/>
    </xf>
    <xf applyAlignment="true" applyBorder="true" applyFont="true" applyProtection="false" borderId="9" fillId="6" fontId="4" numFmtId="164" xfId="0">
      <alignment horizontal="general" indent="0" shrinkToFit="false" textRotation="0" vertical="top" wrapText="true"/>
    </xf>
    <xf applyAlignment="true" applyBorder="true" applyFont="true" applyProtection="false" borderId="9" fillId="6" fontId="4" numFmtId="165" xfId="0">
      <alignment horizontal="general" indent="0" shrinkToFit="false" textRotation="0" vertical="top" wrapText="true"/>
    </xf>
    <xf applyAlignment="true" applyBorder="true" applyFont="true" applyProtection="false" borderId="3" fillId="6" fontId="4" numFmtId="164" xfId="0">
      <alignment horizontal="general" indent="0" shrinkToFit="false" textRotation="0" vertical="top" wrapText="true"/>
    </xf>
    <xf applyAlignment="false" applyBorder="false" applyFont="true" applyProtection="false" borderId="0" fillId="6" fontId="4" numFmtId="164" xfId="0"/>
    <xf applyAlignment="true" applyBorder="true" applyFont="true" applyProtection="false" borderId="6" fillId="4" fontId="4" numFmtId="164" xfId="0">
      <alignment horizontal="general" indent="0" shrinkToFit="false" textRotation="0" vertical="top" wrapText="true"/>
    </xf>
    <xf applyAlignment="true" applyBorder="true" applyFont="true" applyProtection="false" borderId="6" fillId="4" fontId="4" numFmtId="166" xfId="0">
      <alignment horizontal="center" indent="0" shrinkToFit="false" textRotation="0" vertical="bottom" wrapText="false"/>
    </xf>
    <xf applyAlignment="true" applyBorder="true" applyFont="true" applyProtection="false" borderId="9" fillId="4" fontId="4" numFmtId="164" xfId="0">
      <alignment horizontal="general" indent="0" shrinkToFit="false" textRotation="0" vertical="top" wrapText="true"/>
    </xf>
    <xf applyAlignment="true" applyBorder="true" applyFont="true" applyProtection="false" borderId="9" fillId="4" fontId="4" numFmtId="165" xfId="0">
      <alignment horizontal="general" indent="0" shrinkToFit="false" textRotation="0" vertical="top" wrapText="true"/>
    </xf>
    <xf applyAlignment="true" applyBorder="true" applyFont="true" applyProtection="false" borderId="0" fillId="0" fontId="4" numFmtId="164" xfId="0">
      <alignment horizontal="general" indent="0" shrinkToFit="false" textRotation="0" vertical="top" wrapText="true"/>
    </xf>
    <xf applyAlignment="true" applyBorder="true" applyFont="true" applyProtection="false" borderId="6" fillId="0" fontId="4" numFmtId="164" xfId="0">
      <alignment horizontal="general" indent="0" shrinkToFit="false" textRotation="0" vertical="top" wrapText="true"/>
    </xf>
    <xf applyAlignment="true" applyBorder="true" applyFont="true" applyProtection="false" borderId="9" fillId="0" fontId="4" numFmtId="164" xfId="0">
      <alignment horizontal="general" indent="0" shrinkToFit="false" textRotation="0" vertical="top" wrapText="true"/>
    </xf>
    <xf applyAlignment="true" applyBorder="true" applyFont="true" applyProtection="false" borderId="9" fillId="0" fontId="4" numFmtId="165" xfId="0">
      <alignment horizontal="general" indent="0" shrinkToFit="false" textRotation="0" vertical="top" wrapText="true"/>
    </xf>
    <xf applyAlignment="true" applyBorder="true" applyFont="true" applyProtection="false" borderId="6" fillId="8" fontId="4" numFmtId="164" xfId="0">
      <alignment horizontal="general" indent="0" shrinkToFit="false" textRotation="0" vertical="top" wrapText="true"/>
    </xf>
    <xf applyAlignment="true" applyBorder="true" applyFont="true" applyProtection="false" borderId="6" fillId="8" fontId="4" numFmtId="166" xfId="0">
      <alignment horizontal="center" indent="0" shrinkToFit="false" textRotation="0" vertical="top" wrapText="false"/>
    </xf>
    <xf applyAlignment="true" applyBorder="true" applyFont="true" applyProtection="false" borderId="9" fillId="8" fontId="4" numFmtId="164" xfId="0">
      <alignment horizontal="general" indent="0" shrinkToFit="false" textRotation="0" vertical="top" wrapText="true"/>
    </xf>
    <xf applyAlignment="true" applyBorder="true" applyFont="true" applyProtection="false" borderId="9" fillId="8" fontId="4" numFmtId="165" xfId="0">
      <alignment horizontal="general" indent="0" shrinkToFit="false" textRotation="0" vertical="top" wrapText="true"/>
    </xf>
    <xf applyAlignment="false" applyBorder="false" applyFont="true" applyProtection="false" borderId="0" fillId="8" fontId="4" numFmtId="168" xfId="0"/>
    <xf applyAlignment="false" applyBorder="false" applyFont="true" applyProtection="false" borderId="0" fillId="4" fontId="4" numFmtId="168" xfId="0"/>
    <xf applyAlignment="false" applyBorder="false" applyFont="true" applyProtection="false" borderId="0" fillId="8" fontId="4" numFmtId="165" xfId="0"/>
    <xf applyAlignment="false" applyBorder="false" applyFont="true" applyProtection="false" borderId="0" fillId="6" fontId="4" numFmtId="168" xfId="0"/>
    <xf applyAlignment="true" applyBorder="true" applyFont="true" applyProtection="false" borderId="6" fillId="9" fontId="4" numFmtId="164" xfId="0">
      <alignment horizontal="general" indent="0" shrinkToFit="false" textRotation="0" vertical="top" wrapText="true"/>
    </xf>
    <xf applyAlignment="true" applyBorder="true" applyFont="true" applyProtection="false" borderId="6" fillId="9" fontId="4" numFmtId="166" xfId="0">
      <alignment horizontal="center" indent="0" shrinkToFit="false" textRotation="0" vertical="top" wrapText="false"/>
    </xf>
    <xf applyAlignment="true" applyBorder="true" applyFont="true" applyProtection="false" borderId="9" fillId="9" fontId="4" numFmtId="164" xfId="0">
      <alignment horizontal="general" indent="0" shrinkToFit="false" textRotation="0" vertical="top" wrapText="true"/>
    </xf>
    <xf applyAlignment="true" applyBorder="true" applyFont="true" applyProtection="false" borderId="9" fillId="9" fontId="4" numFmtId="165" xfId="0">
      <alignment horizontal="general" indent="0" shrinkToFit="false" textRotation="0" vertical="top" wrapText="true"/>
    </xf>
    <xf applyAlignment="false" applyBorder="false" applyFont="true" applyProtection="false" borderId="0" fillId="9" fontId="4" numFmtId="168" xfId="0"/>
    <xf applyAlignment="true" applyBorder="true" applyFont="true" applyProtection="false" borderId="0" fillId="0" fontId="5" numFmtId="164" xfId="0">
      <alignment horizontal="general" indent="0" shrinkToFit="false" textRotation="0" vertical="top" wrapText="true"/>
    </xf>
    <xf applyAlignment="true" applyBorder="true" applyFont="true" applyProtection="false" borderId="6" fillId="10" fontId="4" numFmtId="164" xfId="0">
      <alignment horizontal="general" indent="0" shrinkToFit="false" textRotation="0" vertical="top" wrapText="true"/>
    </xf>
    <xf applyAlignment="true" applyBorder="true" applyFont="true" applyProtection="false" borderId="6" fillId="10" fontId="4" numFmtId="166" xfId="0">
      <alignment horizontal="center" indent="0" shrinkToFit="false" textRotation="0" vertical="bottom" wrapText="false"/>
    </xf>
    <xf applyAlignment="true" applyBorder="true" applyFont="true" applyProtection="false" borderId="9" fillId="10" fontId="4" numFmtId="164" xfId="0">
      <alignment horizontal="general" indent="0" shrinkToFit="false" textRotation="0" vertical="top" wrapText="true"/>
    </xf>
    <xf applyAlignment="true" applyBorder="true" applyFont="true" applyProtection="false" borderId="9" fillId="10" fontId="4" numFmtId="165" xfId="0">
      <alignment horizontal="general" indent="0" shrinkToFit="false" textRotation="0" vertical="top" wrapText="true"/>
    </xf>
    <xf applyAlignment="true" applyBorder="true" applyFont="true" applyProtection="false" borderId="3" fillId="10" fontId="4" numFmtId="164" xfId="0">
      <alignment horizontal="general" indent="0" shrinkToFit="false" textRotation="0" vertical="top" wrapText="true"/>
    </xf>
    <xf applyAlignment="true" applyBorder="true" applyFont="true" applyProtection="false" borderId="0" fillId="10" fontId="5" numFmtId="164" xfId="0">
      <alignment horizontal="general" indent="0" shrinkToFit="false" textRotation="0" vertical="top" wrapText="true"/>
    </xf>
    <xf applyAlignment="false" applyBorder="false" applyFont="true" applyProtection="false" borderId="0" fillId="10" fontId="4" numFmtId="164" xfId="0"/>
    <xf applyAlignment="false" applyBorder="false" applyFont="true" applyProtection="false" borderId="0" fillId="10" fontId="4" numFmtId="165" xfId="0"/>
    <xf applyAlignment="false" applyBorder="false" applyFont="false" applyProtection="false" borderId="0" fillId="10" fontId="0" numFmtId="164" xfId="0"/>
    <xf applyAlignment="false" applyBorder="false" applyFont="true" applyProtection="false" borderId="0" fillId="10" fontId="4" numFmtId="166" xfId="0"/>
    <xf applyAlignment="true" applyBorder="false" applyFont="true" applyProtection="false" borderId="0" fillId="1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10" fontId="4" numFmtId="168" xfId="0"/>
    <xf applyAlignment="true" applyBorder="true" applyFont="true" applyProtection="false" borderId="6" fillId="11" fontId="4" numFmtId="164" xfId="0">
      <alignment horizontal="general" indent="0" shrinkToFit="false" textRotation="0" vertical="top" wrapText="true"/>
    </xf>
    <xf applyAlignment="true" applyBorder="true" applyFont="true" applyProtection="false" borderId="6" fillId="11" fontId="4" numFmtId="166" xfId="0">
      <alignment horizontal="center" indent="0" shrinkToFit="false" textRotation="0" vertical="bottom" wrapText="false"/>
    </xf>
    <xf applyAlignment="true" applyBorder="true" applyFont="true" applyProtection="false" borderId="9" fillId="11" fontId="4" numFmtId="164" xfId="0">
      <alignment horizontal="general" indent="0" shrinkToFit="false" textRotation="0" vertical="top" wrapText="true"/>
    </xf>
    <xf applyAlignment="true" applyBorder="true" applyFont="true" applyProtection="false" borderId="9" fillId="11" fontId="4" numFmtId="165" xfId="0">
      <alignment horizontal="general" indent="0" shrinkToFit="false" textRotation="0" vertical="top" wrapText="true"/>
    </xf>
    <xf applyAlignment="true" applyBorder="true" applyFont="true" applyProtection="false" borderId="3" fillId="11" fontId="4" numFmtId="164" xfId="0">
      <alignment horizontal="general" indent="0" shrinkToFit="false" textRotation="0" vertical="top" wrapText="true"/>
    </xf>
    <xf applyAlignment="true" applyBorder="true" applyFont="true" applyProtection="false" borderId="0" fillId="11" fontId="5" numFmtId="164" xfId="0">
      <alignment horizontal="general" indent="0" shrinkToFit="false" textRotation="0" vertical="top" wrapText="true"/>
    </xf>
    <xf applyAlignment="false" applyBorder="false" applyFont="true" applyProtection="false" borderId="0" fillId="11" fontId="4" numFmtId="164" xfId="0"/>
    <xf applyAlignment="false" applyBorder="false" applyFont="true" applyProtection="false" borderId="0" fillId="11" fontId="4" numFmtId="165" xfId="0"/>
    <xf applyAlignment="false" applyBorder="false" applyFont="true" applyProtection="false" borderId="0" fillId="11" fontId="4" numFmtId="166" xfId="0"/>
    <xf applyAlignment="true" applyBorder="false" applyFont="true" applyProtection="false" borderId="0" fillId="11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11" fontId="4" numFmtId="168" xfId="0"/>
    <xf applyAlignment="false" applyBorder="false" applyFont="false" applyProtection="false" borderId="0" fillId="11" fontId="0" numFmtId="164" xfId="0"/>
    <xf applyAlignment="true" applyBorder="true" applyFont="true" applyProtection="false" borderId="6" fillId="8" fontId="4" numFmtId="166" xfId="0">
      <alignment horizontal="center" indent="0" shrinkToFit="false" textRotation="0" vertical="bottom" wrapText="false"/>
    </xf>
    <xf applyAlignment="true" applyBorder="true" applyFont="true" applyProtection="false" borderId="3" fillId="8" fontId="4" numFmtId="164" xfId="0">
      <alignment horizontal="general" indent="0" shrinkToFit="false" textRotation="0" vertical="top" wrapText="true"/>
    </xf>
    <xf applyAlignment="false" applyBorder="false" applyFont="true" applyProtection="false" borderId="0" fillId="8" fontId="4" numFmtId="164" xfId="0"/>
    <xf applyAlignment="false" applyBorder="false" applyFont="false" applyProtection="false" borderId="0" fillId="0" fontId="0" numFmtId="164" xfId="0"/>
    <xf applyAlignment="false" applyBorder="false" applyFont="true" applyProtection="false" borderId="0" fillId="6" fontId="4" numFmtId="165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0" fillId="11" fontId="4" numFmtId="164" xfId="0">
      <alignment horizontal="general" indent="0" shrinkToFit="false" textRotation="0" vertical="top" wrapText="true"/>
    </xf>
    <xf applyAlignment="true" applyBorder="false" applyFont="true" applyProtection="false" borderId="0" fillId="6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5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70" xfId="0"/>
    <xf applyAlignment="false" applyBorder="false" applyFont="true" applyProtection="false" borderId="0" fillId="7" fontId="4" numFmtId="164" xfId="0"/>
    <xf applyAlignment="true" applyBorder="true" applyFont="true" applyProtection="false" borderId="6" fillId="4" fontId="4" numFmtId="165" xfId="0">
      <alignment horizontal="general" indent="0" shrinkToFit="false" textRotation="0" vertical="top" wrapText="true"/>
    </xf>
    <xf applyAlignment="false" applyBorder="false" applyFont="true" applyProtection="false" borderId="0" fillId="0" fontId="4" numFmtId="170" xfId="0"/>
    <xf applyAlignment="false" applyBorder="false" applyFont="false" applyProtection="false" borderId="0" fillId="0" fontId="0" numFmtId="165" xfId="0"/>
    <xf applyAlignment="true" applyBorder="true" applyFont="true" applyProtection="false" borderId="6" fillId="5" fontId="4" numFmtId="165" xfId="0">
      <alignment horizontal="general" indent="0" shrinkToFit="false" textRotation="0" vertical="top" wrapText="true"/>
    </xf>
    <xf applyAlignment="true" applyBorder="true" applyFont="true" applyProtection="false" borderId="3" fillId="5" fontId="4" numFmtId="170" xfId="0">
      <alignment horizontal="general" indent="0" shrinkToFit="false" textRotation="0" vertical="top" wrapText="true"/>
    </xf>
    <xf applyAlignment="false" applyBorder="true" applyFont="false" applyProtection="false" borderId="3" fillId="5" fontId="0" numFmtId="164" xfId="0"/>
    <xf applyAlignment="true" applyBorder="true" applyFont="true" applyProtection="false" borderId="6" fillId="0" fontId="0" numFmtId="164" xfId="0">
      <alignment horizontal="general" indent="0" shrinkToFit="false" textRotation="0" vertical="top" wrapText="true"/>
    </xf>
    <xf applyAlignment="false" applyBorder="true" applyFont="true" applyProtection="false" borderId="3" fillId="11" fontId="4" numFmtId="164" xfId="0"/>
    <xf applyAlignment="true" applyBorder="true" applyFont="true" applyProtection="false" borderId="6" fillId="6" fontId="4" numFmtId="164" xfId="0">
      <alignment horizontal="general" indent="0" shrinkToFit="false" textRotation="0" vertical="center" wrapText="true"/>
    </xf>
    <xf applyAlignment="true" applyBorder="true" applyFont="true" applyProtection="false" borderId="6" fillId="6" fontId="4" numFmtId="166" xfId="0">
      <alignment horizontal="center" indent="0" shrinkToFit="false" textRotation="0" vertical="center" wrapText="false"/>
    </xf>
    <xf applyAlignment="true" applyBorder="true" applyFont="true" applyProtection="false" borderId="9" fillId="6" fontId="4" numFmtId="164" xfId="0">
      <alignment horizontal="general" indent="0" shrinkToFit="false" textRotation="0" vertical="center" wrapText="true"/>
    </xf>
    <xf applyAlignment="true" applyBorder="true" applyFont="true" applyProtection="false" borderId="9" fillId="6" fontId="4" numFmtId="165" xfId="0">
      <alignment horizontal="general" indent="0" shrinkToFit="false" textRotation="0" vertical="center" wrapText="true"/>
    </xf>
    <xf applyAlignment="true" applyBorder="true" applyFont="true" applyProtection="false" borderId="3" fillId="6" fontId="4" numFmtId="164" xfId="0">
      <alignment horizontal="general" indent="0" shrinkToFit="false" textRotation="0" vertical="center" wrapText="false"/>
    </xf>
    <xf applyAlignment="true" applyBorder="true" applyFont="true" applyProtection="false" borderId="0" fillId="0" fontId="4" numFmtId="164" xfId="0">
      <alignment horizontal="general" indent="0" shrinkToFit="false" textRotation="0" vertical="center" wrapText="tru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4" numFmtId="165" xfId="0">
      <alignment horizontal="general" indent="0" shrinkToFit="false" textRotation="0" vertical="center" wrapText="false"/>
    </xf>
    <xf applyAlignment="true" applyBorder="false" applyFont="true" applyProtection="false" borderId="0" fillId="0" fontId="4" numFmtId="166" xfId="0">
      <alignment horizontal="general" indent="0" shrinkToFit="false" textRotation="0" vertical="center" wrapText="fals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true" applyBorder="false" applyFont="true" applyProtection="false" borderId="0" fillId="6" fontId="4" numFmtId="165" xfId="0">
      <alignment horizontal="general" indent="0" shrinkToFit="false" textRotation="0" vertical="center" wrapText="fals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</xf>
    <xf applyAlignment="true" applyBorder="true" applyFont="true" applyProtection="false" borderId="6" fillId="5" fontId="4" numFmtId="164" xfId="0">
      <alignment horizontal="general" indent="0" shrinkToFit="false" textRotation="0" vertical="center" wrapText="true"/>
    </xf>
    <xf applyAlignment="true" applyBorder="true" applyFont="true" applyProtection="false" borderId="6" fillId="5" fontId="4" numFmtId="166" xfId="0">
      <alignment horizontal="center" indent="0" shrinkToFit="false" textRotation="0" vertical="center" wrapText="false"/>
    </xf>
    <xf applyAlignment="true" applyBorder="true" applyFont="true" applyProtection="false" borderId="9" fillId="5" fontId="4" numFmtId="164" xfId="0">
      <alignment horizontal="general" indent="0" shrinkToFit="false" textRotation="0" vertical="center" wrapText="true"/>
    </xf>
    <xf applyAlignment="true" applyBorder="true" applyFont="true" applyProtection="false" borderId="9" fillId="5" fontId="4" numFmtId="165" xfId="0">
      <alignment horizontal="general" indent="0" shrinkToFit="false" textRotation="0" vertical="center" wrapText="true"/>
    </xf>
    <xf applyAlignment="true" applyBorder="true" applyFont="true" applyProtection="false" borderId="3" fillId="5" fontId="4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</xf>
    <xf applyAlignment="true" applyBorder="false" applyFont="true" applyProtection="false" borderId="0" fillId="5" fontId="4" numFmtId="165" xfId="0">
      <alignment horizontal="general" indent="0" shrinkToFit="false" textRotation="0" vertical="center" wrapText="false"/>
    </xf>
    <xf applyAlignment="true" applyBorder="true" applyFont="true" applyProtection="false" borderId="3" fillId="0" fontId="4" numFmtId="164" xfId="0">
      <alignment horizontal="general" indent="0" shrinkToFit="false" textRotation="0" vertical="center" wrapText="false"/>
    </xf>
    <xf applyAlignment="true" applyBorder="true" applyFont="true" applyProtection="false" borderId="6" fillId="12" fontId="4" numFmtId="164" xfId="0">
      <alignment horizontal="general" indent="0" shrinkToFit="false" textRotation="0" vertical="top" wrapText="true"/>
    </xf>
    <xf applyAlignment="true" applyBorder="true" applyFont="true" applyProtection="false" borderId="6" fillId="12" fontId="4" numFmtId="166" xfId="0">
      <alignment horizontal="center" indent="0" shrinkToFit="false" textRotation="0" vertical="bottom" wrapText="false"/>
    </xf>
    <xf applyAlignment="true" applyBorder="true" applyFont="true" applyProtection="false" borderId="9" fillId="12" fontId="4" numFmtId="164" xfId="0">
      <alignment horizontal="general" indent="0" shrinkToFit="false" textRotation="0" vertical="top" wrapText="true"/>
    </xf>
    <xf applyAlignment="true" applyBorder="true" applyFont="true" applyProtection="false" borderId="9" fillId="12" fontId="4" numFmtId="165" xfId="0">
      <alignment horizontal="general" indent="0" shrinkToFit="false" textRotation="0" vertical="top" wrapText="true"/>
    </xf>
    <xf applyAlignment="true" applyBorder="true" applyFont="true" applyProtection="false" borderId="3" fillId="12" fontId="4" numFmtId="171" xfId="0">
      <alignment horizontal="general" indent="0" shrinkToFit="false" textRotation="0" vertical="top" wrapText="true"/>
    </xf>
    <xf applyAlignment="true" applyBorder="true" applyFont="true" applyProtection="false" borderId="0" fillId="12" fontId="4" numFmtId="164" xfId="0">
      <alignment horizontal="general" indent="0" shrinkToFit="false" textRotation="0" vertical="top" wrapText="true"/>
    </xf>
    <xf applyAlignment="false" applyBorder="false" applyFont="true" applyProtection="false" borderId="0" fillId="12" fontId="4" numFmtId="164" xfId="0"/>
    <xf applyAlignment="false" applyBorder="false" applyFont="true" applyProtection="false" borderId="0" fillId="12" fontId="4" numFmtId="165" xfId="0"/>
    <xf applyAlignment="false" applyBorder="false" applyFont="true" applyProtection="false" borderId="0" fillId="12" fontId="4" numFmtId="166" xfId="0"/>
    <xf applyAlignment="true" applyBorder="false" applyFont="true" applyProtection="false" borderId="0" fillId="12" fontId="4" numFmtId="164" xfId="0">
      <alignment horizontal="center" indent="0" shrinkToFit="false" textRotation="0" vertical="bottom" wrapText="false"/>
    </xf>
    <xf applyAlignment="false" applyBorder="false" applyFont="false" applyProtection="false" borderId="0" fillId="12" fontId="0" numFmtId="164" xfId="0"/>
    <xf applyAlignment="false" applyBorder="false" applyFont="true" applyProtection="false" borderId="0" fillId="12" fontId="4" numFmtId="168" xfId="0"/>
    <xf applyAlignment="false" applyBorder="true" applyFont="false" applyProtection="false" borderId="2" fillId="6" fontId="0" numFmtId="164" xfId="0"/>
    <xf applyAlignment="true" applyBorder="false" applyFont="true" applyProtection="false" borderId="0" fillId="4" fontId="4" numFmtId="164" xfId="0">
      <alignment horizontal="center" indent="0" shrinkToFit="false" textRotation="0" vertical="bottom" wrapText="false"/>
    </xf>
    <xf applyAlignment="false" applyBorder="true" applyFont="false" applyProtection="false" borderId="2" fillId="5" fontId="0" numFmtId="164" xfId="0"/>
    <xf applyAlignment="false" applyBorder="false" applyFont="true" applyProtection="false" borderId="0" fillId="0" fontId="9" numFmtId="164" xfId="0"/>
    <xf applyAlignment="false" applyBorder="false" applyFont="true" applyProtection="false" borderId="0" fillId="0" fontId="6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3" fillId="11" fontId="4" numFmtId="170" xfId="0">
      <alignment horizontal="general" indent="0" shrinkToFit="false" textRotation="0" vertical="top" wrapText="true"/>
    </xf>
    <xf applyAlignment="true" applyBorder="true" applyFont="true" applyProtection="false" borderId="3" fillId="6" fontId="4" numFmtId="170" xfId="0">
      <alignment horizontal="general" indent="0" shrinkToFit="false" textRotation="0" vertical="top" wrapText="true"/>
    </xf>
    <xf applyAlignment="true" applyBorder="true" applyFont="true" applyProtection="false" borderId="6" fillId="0" fontId="4" numFmtId="165" xfId="0">
      <alignment horizontal="general" indent="0" shrinkToFit="false" textRotation="0" vertical="top" wrapText="true"/>
    </xf>
    <xf applyAlignment="true" applyBorder="true" applyFont="true" applyProtection="false" borderId="6" fillId="9" fontId="4" numFmtId="166" xfId="0">
      <alignment horizontal="center" indent="0" shrinkToFit="false" textRotation="0" vertical="bottom" wrapText="false"/>
    </xf>
    <xf applyAlignment="false" applyBorder="false" applyFont="true" applyProtection="false" borderId="0" fillId="9" fontId="4" numFmtId="164" xfId="0"/>
    <xf applyAlignment="true" applyBorder="true" applyFont="true" applyProtection="false" borderId="3" fillId="0" fontId="4" numFmtId="164" xfId="0">
      <alignment horizontal="general" indent="0" shrinkToFit="false" textRotation="0" vertical="top" wrapText="true"/>
    </xf>
    <xf applyAlignment="true" applyBorder="true" applyFont="true" applyProtection="false" borderId="3" fillId="0" fontId="4" numFmtId="170" xfId="0">
      <alignment horizontal="general" indent="0" shrinkToFit="false" textRotation="0" vertical="top" wrapText="true"/>
    </xf>
    <xf applyAlignment="false" applyBorder="false" applyFont="true" applyProtection="false" borderId="0" fillId="0" fontId="6" numFmtId="164" xfId="0"/>
    <xf applyAlignment="false" applyBorder="false" applyFont="true" applyProtection="false" borderId="0" fillId="9" fontId="4" numFmtId="165" xfId="0"/>
    <xf applyAlignment="true" applyBorder="true" applyFont="true" applyProtection="false" borderId="3" fillId="7" fontId="4" numFmtId="164" xfId="0">
      <alignment horizontal="general" indent="0" shrinkToFit="false" textRotation="0" vertical="top" wrapText="true"/>
    </xf>
    <xf applyAlignment="true" applyBorder="true" applyFont="true" applyProtection="false" borderId="0" fillId="4" fontId="4" numFmtId="165" xfId="0">
      <alignment horizontal="general" indent="0" shrinkToFit="false" textRotation="0" vertical="bottom" wrapText="true"/>
    </xf>
    <xf applyAlignment="true" applyBorder="true" applyFont="true" applyProtection="false" borderId="0" fillId="4" fontId="4" numFmtId="164" xfId="0">
      <alignment horizontal="general" indent="0" shrinkToFit="false" textRotation="0" vertical="bottom" wrapText="true"/>
    </xf>
    <xf applyAlignment="true" applyBorder="true" applyFont="true" applyProtection="false" borderId="0" fillId="5" fontId="4" numFmtId="165" xfId="0">
      <alignment horizontal="general" indent="0" shrinkToFit="false" textRotation="0" vertical="bottom" wrapText="true"/>
    </xf>
    <xf applyAlignment="true" applyBorder="true" applyFont="true" applyProtection="false" borderId="0" fillId="5" fontId="4" numFmtId="168" xfId="0">
      <alignment horizontal="general" indent="0" shrinkToFit="false" textRotation="0" vertical="bottom" wrapText="true"/>
    </xf>
    <xf applyAlignment="true" applyBorder="true" applyFont="true" applyProtection="false" borderId="0" fillId="11" fontId="5" numFmtId="164" xfId="0">
      <alignment horizontal="general" indent="0" shrinkToFit="false" textRotation="0" vertical="bottom" wrapText="true"/>
    </xf>
    <xf applyAlignment="true" applyBorder="true" applyFont="true" applyProtection="false" borderId="6" fillId="6" fontId="4" numFmtId="165" xfId="0">
      <alignment horizontal="general" indent="0" shrinkToFit="false" textRotation="0" vertical="top" wrapText="true"/>
    </xf>
    <xf applyAlignment="false" applyBorder="false" applyFont="true" applyProtection="false" borderId="0" fillId="7" fontId="4" numFmtId="165" xfId="0"/>
    <xf applyAlignment="true" applyBorder="true" applyFont="true" applyProtection="false" borderId="0" fillId="4" fontId="4" numFmtId="165" xfId="0">
      <alignment horizontal="general" indent="0" shrinkToFit="false" textRotation="0" vertical="bottom" wrapText="false"/>
    </xf>
    <xf applyAlignment="true" applyBorder="true" applyFont="true" applyProtection="false" borderId="0" fillId="5" fontId="4" numFmtId="165" xfId="0">
      <alignment horizontal="general" indent="0" shrinkToFit="false" textRotation="0" vertical="bottom" wrapText="false"/>
    </xf>
    <xf applyAlignment="false" applyBorder="false" applyFont="false" applyProtection="false" borderId="0" fillId="5" fontId="0" numFmtId="164" xfId="0"/>
    <xf applyAlignment="true" applyBorder="true" applyFont="true" applyProtection="false" borderId="0" fillId="0" fontId="4" numFmtId="168" xfId="0">
      <alignment horizontal="general" indent="0" shrinkToFit="false" textRotation="0" vertical="top" wrapText="true"/>
    </xf>
    <xf applyAlignment="true" applyBorder="true" applyFont="true" applyProtection="false" borderId="6" fillId="8" fontId="9" numFmtId="166" xfId="0">
      <alignment horizontal="center" indent="0" shrinkToFit="false" textRotation="0" vertical="bottom" wrapText="false"/>
    </xf>
    <xf applyAlignment="true" applyBorder="true" applyFont="true" applyProtection="false" borderId="9" fillId="5" fontId="4" numFmtId="168" xfId="0">
      <alignment horizontal="general" indent="0" shrinkToFit="false" textRotation="0" vertical="top" wrapText="true"/>
    </xf>
    <xf applyAlignment="false" applyBorder="false" applyFont="true" applyProtection="false" borderId="0" fillId="6" fontId="0" numFmtId="164" xfId="0"/>
    <xf applyAlignment="true" applyBorder="true" applyFont="true" applyProtection="false" borderId="6" fillId="11" fontId="4" numFmtId="165" xfId="0">
      <alignment horizontal="general" indent="0" shrinkToFit="false" textRotation="0" vertical="top" wrapText="true"/>
    </xf>
    <xf applyAlignment="true" applyBorder="true" applyFont="true" applyProtection="false" borderId="3" fillId="6" fontId="4" numFmtId="165" xfId="0">
      <alignment horizontal="general" indent="0" shrinkToFit="false" textRotation="0" vertical="top" wrapText="true"/>
    </xf>
    <xf applyAlignment="true" applyBorder="true" applyFont="true" applyProtection="false" borderId="3" fillId="5" fontId="4" numFmtId="165" xfId="0">
      <alignment horizontal="general" indent="0" shrinkToFit="false" textRotation="0" vertical="top" wrapText="true"/>
    </xf>
    <xf applyAlignment="false" applyBorder="false" applyFont="false" applyProtection="false" borderId="0" fillId="6" fontId="0" numFmtId="165" xfId="0"/>
    <xf applyAlignment="false" applyBorder="false" applyFont="false" applyProtection="false" borderId="0" fillId="5" fontId="0" numFmtId="165" xfId="0"/>
    <xf applyAlignment="true" applyBorder="true" applyFont="true" applyProtection="false" borderId="6" fillId="4" fontId="4" numFmtId="164" xfId="0">
      <alignment horizontal="general" indent="0" shrinkToFit="false" textRotation="0" vertical="top" wrapText="false"/>
    </xf>
    <xf applyAlignment="true" applyBorder="true" applyFont="true" applyProtection="false" borderId="6" fillId="4" fontId="0" numFmtId="164" xfId="0">
      <alignment horizontal="general" indent="0" shrinkToFit="false" textRotation="0" vertical="top" wrapText="true"/>
    </xf>
    <xf applyAlignment="true" applyBorder="true" applyFont="true" applyProtection="false" borderId="6" fillId="12" fontId="4" numFmtId="164" xfId="0">
      <alignment horizontal="general" indent="0" shrinkToFit="false" textRotation="0" vertical="bottom" wrapText="true"/>
    </xf>
    <xf applyAlignment="false" applyBorder="true" applyFont="false" applyProtection="false" borderId="6" fillId="12" fontId="0" numFmtId="164" xfId="0"/>
    <xf applyAlignment="true" applyBorder="true" applyFont="true" applyProtection="false" borderId="10" fillId="12" fontId="4" numFmtId="166" xfId="0">
      <alignment horizontal="center" indent="0" shrinkToFit="false" textRotation="0" vertical="bottom" wrapText="false"/>
    </xf>
    <xf applyAlignment="true" applyBorder="true" applyFont="true" applyProtection="false" borderId="4" fillId="11" fontId="4" numFmtId="164" xfId="0">
      <alignment horizontal="general" indent="0" shrinkToFit="false" textRotation="0" vertical="top" wrapText="true"/>
    </xf>
    <xf applyAlignment="true" applyBorder="true" applyFont="true" applyProtection="false" borderId="4" fillId="6" fontId="4" numFmtId="164" xfId="0">
      <alignment horizontal="general" indent="0" shrinkToFit="false" textRotation="0" vertical="top" wrapText="true"/>
    </xf>
    <xf applyAlignment="true" applyBorder="true" applyFont="true" applyProtection="false" borderId="9" fillId="0" fontId="9" numFmtId="164" xfId="0">
      <alignment horizontal="general" indent="0" shrinkToFit="false" textRotation="0" vertical="top" wrapText="true"/>
    </xf>
    <xf applyAlignment="true" applyBorder="true" applyFont="true" applyProtection="false" borderId="9" fillId="0" fontId="9" numFmtId="165" xfId="0">
      <alignment horizontal="general" indent="0" shrinkToFit="false" textRotation="0" vertical="top" wrapText="true"/>
    </xf>
    <xf applyAlignment="true" applyBorder="false" applyFont="true" applyProtection="false" borderId="0" fillId="8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5" fontId="4" numFmtId="168" xfId="0">
      <alignment horizontal="center" indent="0" shrinkToFit="false" textRotation="0" vertical="bottom" wrapText="false"/>
    </xf>
    <xf applyAlignment="true" applyBorder="true" applyFont="true" applyProtection="false" borderId="6" fillId="4" fontId="4" numFmtId="164" xfId="0">
      <alignment horizontal="center" indent="0" shrinkToFit="false" textRotation="0" vertical="bottom" wrapText="false"/>
    </xf>
    <xf applyAlignment="true" applyBorder="true" applyFont="true" applyProtection="false" borderId="6" fillId="5" fontId="4" numFmtId="164" xfId="0">
      <alignment horizontal="center" indent="0" shrinkToFit="false" textRotation="0" vertical="bottom" wrapText="false"/>
    </xf>
    <xf applyAlignment="true" applyBorder="true" applyFont="true" applyProtection="false" borderId="6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11" fillId="0" fontId="5" numFmtId="164" xfId="0">
      <alignment horizontal="general" indent="0" shrinkToFit="false" textRotation="0" vertical="top" wrapText="true"/>
    </xf>
    <xf applyAlignment="true" applyBorder="true" applyFont="true" applyProtection="false" borderId="0" fillId="0" fontId="5" numFmtId="164" xfId="0">
      <alignment horizontal="general" indent="0" shrinkToFit="false" textRotation="0" vertical="top" wrapText="true"/>
    </xf>
    <xf applyAlignment="true" applyBorder="true" applyFont="true" applyProtection="false" borderId="0" fillId="0" fontId="4" numFmtId="165" xfId="0">
      <alignment horizontal="general" indent="0" shrinkToFit="false" textRotation="0" vertical="top" wrapText="true"/>
    </xf>
    <xf applyAlignment="true" applyBorder="true" applyFont="true" applyProtection="false" borderId="11" fillId="0" fontId="4" numFmtId="164" xfId="0">
      <alignment horizontal="general" indent="0" shrinkToFit="false" textRotation="0" vertical="top" wrapText="true"/>
    </xf>
    <xf applyAlignment="false" applyBorder="true" applyFont="true" applyProtection="false" borderId="0" fillId="0" fontId="4" numFmtId="172" xfId="0"/>
    <xf applyAlignment="true" applyBorder="true" applyFont="true" applyProtection="false" borderId="6" fillId="0" fontId="5" numFmtId="164" xfId="0">
      <alignment horizontal="general" indent="0" shrinkToFit="false" textRotation="0" vertical="top" wrapText="true"/>
    </xf>
    <xf applyAlignment="true" applyBorder="true" applyFont="true" applyProtection="false" borderId="11" fillId="4" fontId="4" numFmtId="164" xfId="0">
      <alignment horizontal="general" indent="0" shrinkToFit="false" textRotation="0" vertical="top" wrapText="true"/>
    </xf>
    <xf applyAlignment="true" applyBorder="true" applyFont="true" applyProtection="false" borderId="11" fillId="5" fontId="4" numFmtId="164" xfId="0">
      <alignment horizontal="general" indent="0" shrinkToFit="false" textRotation="0" vertical="top" wrapText="true"/>
    </xf>
    <xf applyAlignment="false" applyBorder="true" applyFont="true" applyProtection="false" borderId="6" fillId="4" fontId="4" numFmtId="164" xfId="0"/>
    <xf applyAlignment="false" applyBorder="true" applyFont="true" applyProtection="false" borderId="6" fillId="5" fontId="4" numFmtId="164" xfId="0"/>
    <xf applyAlignment="true" applyBorder="true" applyFont="true" applyProtection="false" borderId="9" fillId="4" fontId="4" numFmtId="170" xfId="0">
      <alignment horizontal="general" indent="0" shrinkToFit="false" textRotation="0" vertical="top" wrapText="true"/>
    </xf>
    <xf applyAlignment="true" applyBorder="true" applyFont="true" applyProtection="false" borderId="11" fillId="4" fontId="4" numFmtId="171" xfId="0">
      <alignment horizontal="general" indent="0" shrinkToFit="false" textRotation="0" vertical="top" wrapText="true"/>
    </xf>
    <xf applyAlignment="true" applyBorder="true" applyFont="true" applyProtection="false" borderId="9" fillId="5" fontId="4" numFmtId="170" xfId="0">
      <alignment horizontal="general" indent="0" shrinkToFit="false" textRotation="0" vertical="top" wrapText="true"/>
    </xf>
    <xf applyAlignment="true" applyBorder="true" applyFont="true" applyProtection="false" borderId="11" fillId="5" fontId="4" numFmtId="171" xfId="0">
      <alignment horizontal="general" indent="0" shrinkToFit="false" textRotation="0" vertical="top" wrapText="true"/>
    </xf>
    <xf applyAlignment="false" applyBorder="true" applyFont="true" applyProtection="false" borderId="6" fillId="8" fontId="4" numFmtId="164" xfId="0"/>
    <xf applyAlignment="true" applyBorder="true" applyFont="true" applyProtection="false" borderId="6" fillId="8" fontId="4" numFmtId="164" xfId="0">
      <alignment horizontal="center" indent="0" shrinkToFit="false" textRotation="0" vertical="bottom" wrapText="false"/>
    </xf>
    <xf applyAlignment="true" applyBorder="true" applyFont="true" applyProtection="false" borderId="9" fillId="8" fontId="4" numFmtId="170" xfId="0">
      <alignment horizontal="general" indent="0" shrinkToFit="false" textRotation="0" vertical="top" wrapText="true"/>
    </xf>
    <xf applyAlignment="true" applyBorder="true" applyFont="true" applyProtection="false" borderId="6" fillId="11" fontId="4" numFmtId="164" xfId="0">
      <alignment horizontal="center" indent="0" shrinkToFit="false" textRotation="0" vertical="bottom" wrapText="false"/>
    </xf>
    <xf applyAlignment="true" applyBorder="true" applyFont="true" applyProtection="false" borderId="11" fillId="11" fontId="4" numFmtId="171" xfId="0">
      <alignment horizontal="general" indent="0" shrinkToFit="false" textRotation="0" vertical="top" wrapText="true"/>
    </xf>
    <xf applyAlignment="false" applyBorder="true" applyFont="true" applyProtection="false" borderId="6" fillId="6" fontId="4" numFmtId="164" xfId="0"/>
    <xf applyAlignment="true" applyBorder="true" applyFont="true" applyProtection="false" borderId="6" fillId="6" fontId="4" numFmtId="164" xfId="0">
      <alignment horizontal="center" indent="0" shrinkToFit="false" textRotation="0" vertical="bottom" wrapText="false"/>
    </xf>
    <xf applyAlignment="true" applyBorder="true" applyFont="true" applyProtection="false" borderId="11" fillId="6" fontId="4" numFmtId="164" xfId="0">
      <alignment horizontal="general" indent="0" shrinkToFit="false" textRotation="0" vertical="top" wrapText="true"/>
    </xf>
    <xf applyAlignment="false" applyBorder="true" applyFont="true" applyProtection="false" borderId="6" fillId="11" fontId="4" numFmtId="164" xfId="0"/>
    <xf applyAlignment="true" applyBorder="true" applyFont="true" applyProtection="false" borderId="11" fillId="11" fontId="4" numFmtId="164" xfId="0">
      <alignment horizontal="general" indent="0" shrinkToFit="false" textRotation="0" vertical="top" wrapText="true"/>
    </xf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9" fillId="6" fontId="4" numFmtId="170" xfId="0">
      <alignment horizontal="general" indent="0" shrinkToFit="false" textRotation="0" vertical="top" wrapText="true"/>
    </xf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11" fillId="8" fontId="4" numFmtId="164" xfId="0">
      <alignment horizontal="general" indent="0" shrinkToFit="false" textRotation="0" vertical="top" wrapText="true"/>
    </xf>
    <xf applyAlignment="false" applyBorder="true" applyFont="true" applyProtection="false" borderId="9" fillId="11" fontId="4" numFmtId="164" xfId="0"/>
    <xf applyAlignment="false" applyBorder="true" applyFont="true" applyProtection="false" borderId="9" fillId="11" fontId="4" numFmtId="165" xfId="0"/>
    <xf applyAlignment="false" applyBorder="true" applyFont="true" applyProtection="false" borderId="11" fillId="11" fontId="4" numFmtId="164" xfId="0"/>
    <xf applyAlignment="false" applyBorder="true" applyFont="true" applyProtection="false" borderId="0" fillId="0" fontId="4" numFmtId="164" xfId="0"/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8" fontId="5" numFmtId="164" xfId="0"/>
    <xf applyAlignment="false" applyBorder="true" applyFont="true" applyProtection="false" borderId="0" fillId="0" fontId="4" numFmtId="164" xfId="0"/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8" fontId="4" numFmtId="164" xfId="0">
      <alignment horizontal="general" indent="0" shrinkToFit="false" textRotation="0" vertical="top" wrapText="true"/>
    </xf>
    <xf applyAlignment="true" applyBorder="true" applyFont="true" applyProtection="false" borderId="0" fillId="8" fontId="4" numFmtId="165" xfId="0">
      <alignment horizontal="general" indent="0" shrinkToFit="false" textRotation="0" vertical="top" wrapText="true"/>
    </xf>
    <xf applyAlignment="true" applyBorder="true" applyFont="true" applyProtection="false" borderId="11" fillId="0" fontId="4" numFmtId="164" xfId="0">
      <alignment horizontal="general" indent="0" shrinkToFit="false" textRotation="0" vertical="top" wrapText="true"/>
    </xf>
    <xf applyAlignment="true" applyBorder="true" applyFont="true" applyProtection="false" borderId="6" fillId="7" fontId="4" numFmtId="165" xfId="0">
      <alignment horizontal="center" indent="0" shrinkToFit="false" textRotation="0" vertical="bottom" wrapText="false"/>
    </xf>
    <xf applyAlignment="true" applyBorder="true" applyFont="true" applyProtection="false" borderId="6" fillId="4" fontId="4" numFmtId="165" xfId="0">
      <alignment horizontal="center" indent="0" shrinkToFit="false" textRotation="0" vertical="bottom" wrapText="false"/>
    </xf>
    <xf applyAlignment="true" applyBorder="true" applyFont="true" applyProtection="false" borderId="6" fillId="8" fontId="4" numFmtId="165" xfId="0">
      <alignment horizontal="center" indent="0" shrinkToFit="false" textRotation="0" vertical="bottom" wrapText="false"/>
    </xf>
    <xf applyAlignment="true" applyBorder="true" applyFont="true" applyProtection="false" borderId="6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6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6" fillId="6" fontId="4" numFmtId="165" xfId="0">
      <alignment horizontal="center" indent="0" shrinkToFit="false" textRotation="0" vertical="bottom" wrapText="false"/>
    </xf>
    <xf applyAlignment="true" applyBorder="true" applyFont="true" applyProtection="false" borderId="6" fillId="4" fontId="4" numFmtId="168" xfId="0">
      <alignment horizontal="center" indent="0" shrinkToFit="false" textRotation="0" vertical="bottom" wrapText="false"/>
    </xf>
    <xf applyAlignment="true" applyBorder="true" applyFont="true" applyProtection="false" borderId="6" fillId="6" fontId="4" numFmtId="168" xfId="0">
      <alignment horizontal="center" indent="0" shrinkToFit="false" textRotation="0" vertical="bottom" wrapText="false"/>
    </xf>
    <xf applyAlignment="true" applyBorder="true" applyFont="true" applyProtection="false" borderId="6" fillId="8" fontId="4" numFmtId="168" xfId="0">
      <alignment horizontal="center" indent="0" shrinkToFit="false" textRotation="0" vertical="bottom" wrapText="false"/>
    </xf>
    <xf applyAlignment="true" applyBorder="true" applyFont="true" applyProtection="false" borderId="6" fillId="0" fontId="4" numFmtId="165" xfId="0">
      <alignment horizontal="general" indent="0" shrinkToFit="false" textRotation="0" vertical="bottom" wrapText="false"/>
    </xf>
    <xf applyAlignment="true" applyBorder="true" applyFont="true" applyProtection="false" borderId="6" fillId="6" fontId="4" numFmtId="170" xfId="0">
      <alignment horizontal="general" indent="0" shrinkToFit="false" textRotation="0" vertical="bottom" wrapText="false"/>
    </xf>
    <xf applyAlignment="true" applyBorder="true" applyFont="true" applyProtection="false" borderId="6" fillId="6" fontId="4" numFmtId="165" xfId="0">
      <alignment horizontal="general" indent="0" shrinkToFit="false" textRotation="0" vertical="bottom" wrapText="false"/>
    </xf>
    <xf applyAlignment="true" applyBorder="true" applyFont="true" applyProtection="false" borderId="6" fillId="8" fontId="4" numFmtId="165" xfId="0">
      <alignment horizontal="general" indent="0" shrinkToFit="false" textRotation="0" vertical="bottom" wrapText="false"/>
    </xf>
    <xf applyAlignment="true" applyBorder="true" applyFont="true" applyProtection="false" borderId="6" fillId="4" fontId="4" numFmtId="165" xfId="0">
      <alignment horizontal="general" indent="0" shrinkToFit="false" textRotation="0" vertical="bottom" wrapText="false"/>
    </xf>
    <xf applyAlignment="false" applyBorder="false" applyFont="true" applyProtection="false" borderId="0" fillId="5" fontId="5" numFmtId="164" xfId="0"/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5" fontId="4" numFmtId="164" xfId="0">
      <alignment horizontal="general" indent="0" shrinkToFit="false" textRotation="0" vertical="top" wrapText="true"/>
    </xf>
    <xf applyAlignment="true" applyBorder="true" applyFont="true" applyProtection="false" borderId="0" fillId="5" fontId="4" numFmtId="165" xfId="0">
      <alignment horizontal="general" indent="0" shrinkToFit="false" textRotation="0" vertical="top" wrapText="true"/>
    </xf>
    <xf applyAlignment="true" applyBorder="true" applyFont="true" applyProtection="false" borderId="12" fillId="0" fontId="4" numFmtId="164" xfId="0">
      <alignment horizontal="general" indent="0" shrinkToFit="false" textRotation="0" vertical="top" wrapText="true"/>
    </xf>
    <xf applyAlignment="true" applyBorder="true" applyFont="true" applyProtection="false" borderId="13" fillId="5" fontId="4" numFmtId="165" xfId="0">
      <alignment horizontal="center" indent="0" shrinkToFit="false" textRotation="0" vertical="bottom" wrapText="false"/>
    </xf>
    <xf applyAlignment="true" applyBorder="true" applyFont="true" applyProtection="false" borderId="13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13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13" fillId="5" fontId="4" numFmtId="168" xfId="0">
      <alignment horizontal="center" indent="0" shrinkToFit="false" textRotation="0" vertical="bottom" wrapText="false"/>
    </xf>
    <xf applyAlignment="true" applyBorder="true" applyFont="true" applyProtection="false" borderId="13" fillId="0" fontId="4" numFmtId="165" xfId="0">
      <alignment horizontal="general" indent="0" shrinkToFit="false" textRotation="0" vertical="bottom" wrapText="false"/>
    </xf>
    <xf applyAlignment="true" applyBorder="true" applyFont="true" applyProtection="false" borderId="6" fillId="5" fontId="4" numFmtId="165" xfId="0">
      <alignment horizontal="center" indent="0" shrinkToFit="false" textRotation="0" vertical="bottom" wrapText="false"/>
    </xf>
    <xf applyAlignment="true" applyBorder="true" applyFont="true" applyProtection="false" borderId="13" fillId="5" fontId="4" numFmtId="170" xfId="0">
      <alignment horizontal="general" indent="0" shrinkToFit="false" textRotation="0" vertical="bottom" wrapText="false"/>
    </xf>
    <xf applyAlignment="true" applyBorder="true" applyFont="true" applyProtection="false" borderId="13" fillId="5" fontId="4" numFmtId="165" xfId="0">
      <alignment horizontal="general" indent="0" shrinkToFit="false" textRotation="0" vertical="bottom" wrapText="false"/>
    </xf>
    <xf applyAlignment="true" applyBorder="true" applyFont="true" applyProtection="false" borderId="1" fillId="0" fontId="5" numFmtId="165" xfId="0">
      <alignment horizontal="general" indent="0" shrinkToFit="false" textRotation="0" vertical="bottom" wrapText="true"/>
    </xf>
    <xf applyAlignment="false" applyBorder="false" applyFont="true" applyProtection="false" borderId="0" fillId="0" fontId="5" numFmtId="164" xfId="0"/>
    <xf applyAlignment="false" applyBorder="false" applyFont="true" applyProtection="false" borderId="0" fillId="8" fontId="5" numFmtId="164" xfId="0"/>
    <xf applyAlignment="false" applyBorder="false" applyFont="true" applyProtection="false" borderId="0" fillId="5" fontId="5" numFmtId="164" xfId="0"/>
    <xf applyAlignment="true" applyBorder="false" applyFont="true" applyProtection="false" borderId="0" fillId="13" fontId="5" numFmtId="164" xfId="0">
      <alignment horizontal="general" indent="0" shrinkToFit="false" textRotation="0" vertical="bottom" wrapText="true"/>
    </xf>
    <xf applyAlignment="false" applyBorder="false" applyFont="true" applyProtection="false" borderId="0" fillId="14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83CA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630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7FF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1457280</xdr:colOff>
      <xdr:row>107</xdr:row>
      <xdr:rowOff>107280</xdr:rowOff>
    </xdr:from>
    <xdr:to>
      <xdr:col>0</xdr:col>
      <xdr:colOff>1476000</xdr:colOff>
      <xdr:row>112</xdr:row>
      <xdr:rowOff>107280</xdr:rowOff>
    </xdr:to>
    <xdr:sp>
      <xdr:nvSpPr>
        <xdr:cNvPr id="0" name="CustomShape 1"/>
        <xdr:cNvSpPr/>
      </xdr:nvSpPr>
      <xdr:spPr>
        <a:xfrm>
          <a:off x="1457280" y="19046880"/>
          <a:ext cx="18720" cy="806400"/>
        </a:xfrm>
        <a:prstGeom prst="rect">
          <a:avLst/>
        </a:prstGeom>
      </xdr:spPr>
    </xdr:sp>
    <xdr:clientData/>
  </xdr:twoCellAnchor>
</xdr:wsDr>
</file>

<file path=xl/drawings/vmlDrawing1.xml><?xml version="1.0" encoding="UTF-8" standalone="yes"?>
<xml xmlns:o="urn:schemas-microsoft-com:office:office" xmlns:v="urn:schemas-microsoft-com:vml" xmlns:x="urn:schemas-microsoft-com:office:excel"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0" style="position:absolute;margin-left:446.9pt;margin-top:0pt;width:80.9pt;height:41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" style="position:absolute;margin-left:489.65pt;margin-top:0.7pt;width:98.05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" style="position:absolute;margin-left:614.95pt;margin-top:0.7pt;width:97.6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12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" style="position:absolute;margin-left:941.1pt;margin-top:0.7pt;width:96.25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24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" style="position:absolute;margin-left:1236.2pt;margin-top:0.7pt;width:97.9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36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" style="position:absolute;margin-left:1494.8pt;margin-top:0pt;width:70.15pt;height:50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44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" style="position:absolute;margin-left:1522.2pt;margin-top:0pt;width:70.85pt;height:50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45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" style="position:absolute;margin-left:1574.8pt;margin-top:0.7pt;width:92.4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" style="position:absolute;margin-left:2602.4pt;margin-top:0pt;width:81.9pt;height:23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0</x:Row><x:Column>84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" style="position:absolute;margin-left:2526.2pt;margin-top:0.7pt;width:187.85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91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" style="position:absolute;margin-left:3214.1pt;margin-top:0.7pt;width:98.25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116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" style="position:absolute;margin-left:3950.85pt;margin-top:0pt;width:96.25pt;height:3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0</x:Row><x:Column>142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" style="position:absolute;margin-left:5338pt;margin-top:0pt;width:70.15pt;height:42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0</x:Row><x:Column>196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" style="position:absolute;margin-left:6245.4pt;margin-top:5.85pt;width:97.45pt;height:51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0</x:Row><x:Column>220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" style="position:absolute;margin-left:7053pt;margin-top:0.7pt;width:123.1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254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" style="position:absolute;margin-left:7603.2pt;margin-top:0.7pt;width:100.6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258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" style="position:absolute;margin-left:7621.5pt;margin-top:0.7pt;width:91.95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259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" style="position:absolute;margin-left:7663.75pt;margin-top:0.7pt;width:100.6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260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" style="position:absolute;margin-left:7226.4pt;margin-top:0.7pt;width:117.2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0</x:Row><x:Column>261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" style="position:absolute;margin-left:447.2pt;margin-top:88.05pt;width:81.8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" style="position:absolute;margin-left:184.4pt;margin-top:100.75pt;width:84.05pt;height:50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" style="position:absolute;margin-left:32.35pt;margin-top:162.35pt;width:87.9pt;height:41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" style="position:absolute;margin-left:192.1pt;margin-top:116.15pt;width:78.9pt;height:23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" style="position:absolute;margin-left:1554pt;margin-top:120.25pt;width:69.95pt;height:41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</x:Row><x:Column>47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" style="position:absolute;margin-left:3365.5pt;margin-top:119.75pt;width:69.75pt;height:38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</x:Row><x:Column>115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" style="position:absolute;margin-left:184.4pt;margin-top:125.7pt;width:146.45pt;height:85.6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" style="position:absolute;margin-left:188.65pt;margin-top:119.75pt;width:139.7pt;height:96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" style="position:absolute;margin-left:163pt;margin-top:88.7pt;width:109.9pt;height:23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" style="position:absolute;margin-left:291.2pt;margin-top:113.75pt;width:101.9pt;height:32.1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7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" style="position:absolute;margin-left:447.2pt;margin-top:176.75pt;width:82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" style="position:absolute;margin-left:447.2pt;margin-top:189.45pt;width:82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9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" style="position:absolute;margin-left:447.2pt;margin-top:214.7pt;width:82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" style="position:absolute;margin-left:707.7pt;margin-top:182.95pt;width:164.2pt;height:59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10</x:Row><x:Column>17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" style="position:absolute;margin-left:186.55pt;margin-top:120.8pt;width:155.7pt;height:112.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" style="position:absolute;margin-left:315.55pt;margin-top:121.65pt;width:101.45pt;height:62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" style="position:absolute;margin-left:474.55pt;margin-top:176.75pt;width:82.45pt;height:76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</x:Row><x:Column>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" style="position:absolute;margin-left:3230.15pt;margin-top:156.35pt;width:82pt;height:58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</x:Row><x:Column>111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" style="position:absolute;margin-left:6399.25pt;margin-top:163.95pt;width:136.05pt;height:79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</x:Row><x:Column>223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" style="position:absolute;margin-left:163pt;margin-top:126.75pt;width:153.6pt;height:112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" style="position:absolute;margin-left:312.4pt;margin-top:154.5pt;width:101.45pt;height:62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" style="position:absolute;margin-left:496.45pt;margin-top:131.85pt;width:88.75pt;height:68.6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</x:Row><x:Column>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" style="position:absolute;margin-left:3257pt;margin-top:167.65pt;width:82.05pt;height:58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</x:Row><x:Column>111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" style="position:absolute;margin-left:6564pt;margin-top:228.1pt;width:143.7pt;height:68.1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12</x:Row><x:Column>223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" style="position:absolute;margin-left:362.7pt;margin-top:135.5pt;width:69.95pt;height:41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13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" style="position:absolute;margin-left:882.95pt;margin-top:118.95pt;width:102.5pt;height:51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13</x:Row><x:Column>22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" style="position:absolute;margin-left:130.15pt;margin-top:144.4pt;width:106.1pt;height:18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" style="position:absolute;margin-left:359.15pt;margin-top:170.25pt;width:69.9pt;height:33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14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" style="position:absolute;margin-left:130.15pt;margin-top:144pt;width:106.1pt;height:18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" style="position:absolute;margin-left:334.1pt;margin-top:171.25pt;width:70.5pt;height:49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" style="position:absolute;margin-left:227.05pt;margin-top:278.85pt;width:82.1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16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" style="position:absolute;margin-left:359.3pt;margin-top:279pt;width:82.15pt;height:16.8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16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" style="position:absolute;margin-left:227.05pt;margin-top:291.55pt;width:82.1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17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" style="position:absolute;margin-left:172.45pt;margin-top:202.2pt;width:78.55pt;height:23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" style="position:absolute;margin-left:172.45pt;margin-top:202.2pt;width:78.55pt;height:23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" style="position:absolute;margin-left:227.05pt;margin-top:341.85pt;width:82.0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" style="position:absolute;margin-left:327.65pt;margin-top:317.75pt;width:71.4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" style="position:absolute;margin-left:982.5pt;margin-top:341.85pt;width:82pt;height:50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</x:Row><x:Column>27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" style="position:absolute;margin-left:2822.8pt;margin-top:341.75pt;width:82.1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</x:Row><x:Column>92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8" style="position:absolute;margin-left:163pt;margin-top:194.3pt;width:109.9pt;height:54.1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9" style="position:absolute;margin-left:382.4pt;margin-top:342.25pt;width:81.9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21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0" style="position:absolute;margin-left:213.45pt;margin-top:285.9pt;width:127.85pt;height:76.6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23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1" style="position:absolute;margin-left:6954.85pt;margin-top:367.65pt;width:81.95pt;height:16.8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</x:Row><x:Column>237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2" style="position:absolute;margin-left:227.05pt;margin-top:380.3pt;width:81.9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24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3" style="position:absolute;margin-left:225.25pt;margin-top:342.3pt;width:112.75pt;height:71.7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24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4" style="position:absolute;margin-left:184.4pt;margin-top:418.05pt;width:82.2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5" style="position:absolute;margin-left:447.2pt;margin-top:417.85pt;width:82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6" style="position:absolute;margin-left:7091.8pt;margin-top:418.4pt;width:81.95pt;height:16.8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27</x:Row><x:Column>242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7" style="position:absolute;margin-left:7195pt;margin-top:443.4pt;width:82.65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</x:Row><x:Column>246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8" style="position:absolute;margin-left:184pt;margin-top:354.55pt;width:86.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69" style="position:absolute;margin-left:382.4pt;margin-top:444.3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29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0" style="position:absolute;margin-left:1039.2pt;margin-top:341.9pt;width:80.9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29</x:Row><x:Column>29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1" style="position:absolute;margin-left:382.4pt;margin-top:457.1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30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2" style="position:absolute;margin-left:175.3pt;margin-top:485.15pt;width:90.1pt;height:41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3" style="position:absolute;margin-left:447.2pt;margin-top:481.45pt;width:82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4" style="position:absolute;margin-left:182.85pt;margin-top:448.15pt;width:104.8pt;height:67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5" style="position:absolute;margin-left:505.4pt;margin-top:486.6pt;width:81.75pt;height:39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33</x:Row><x:Column>10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6" style="position:absolute;margin-left:757.75pt;margin-top:494.3pt;width:81.95pt;height:50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33</x:Row><x:Column>19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7" style="position:absolute;margin-left:5235.55pt;margin-top:494.3pt;width:81.95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33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8" style="position:absolute;margin-left:382.4pt;margin-top:507.35pt;width:81.9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35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79" style="position:absolute;margin-left:781.25pt;margin-top:241.1pt;width:97.65pt;height:54.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35</x:Row><x:Column>18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0" style="position:absolute;margin-left:184.4pt;margin-top:609.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42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1" style="position:absolute;margin-left:111.5pt;margin-top:567.85pt;width:89.35pt;height:75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44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2" style="position:absolute;margin-left:757.75pt;margin-top:592.85pt;width:86.45pt;height:68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44</x:Row><x:Column>19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3" style="position:absolute;margin-left:1767pt;margin-top:473.35pt;width:69.25pt;height:33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44</x:Row><x:Column>58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4" style="position:absolute;margin-left:5201.45pt;margin-top:628.85pt;width:82.35pt;height:41.8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44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5" style="position:absolute;margin-left:5284pt;margin-top:565.95pt;width:82.1pt;height:68.6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44</x:Row><x:Column>179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6" style="position:absolute;margin-left:280.25pt;margin-top:670.8pt;width:105pt;height:63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7" style="position:absolute;margin-left:1425.75pt;margin-top:634.1pt;width:164.65pt;height:50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8" style="position:absolute;margin-left:1728.35pt;margin-top:654.35pt;width:82.1pt;height:59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53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89" style="position:absolute;margin-left:1900.85pt;margin-top:659.35pt;width:82.45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59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0" style="position:absolute;margin-left:2884.35pt;margin-top:638.1pt;width:81.9pt;height:71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94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1" style="position:absolute;margin-left:3197.05pt;margin-top:630.55pt;width:164.4pt;height:59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105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2" style="position:absolute;margin-left:4106.15pt;margin-top:659.35pt;width:164.2pt;height:50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138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3" style="position:absolute;margin-left:4153.05pt;margin-top:615.15pt;width:82.3pt;height:59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141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4" style="position:absolute;margin-left:5986.75pt;margin-top:594.05pt;width:164.1pt;height:67.8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207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5" style="position:absolute;margin-left:6042.95pt;margin-top:597.05pt;width:164.4pt;height:61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208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6" style="position:absolute;margin-left:6162.6pt;margin-top:659.35pt;width:164.8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209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7" style="position:absolute;margin-left:6171pt;margin-top:592.4pt;width:164.25pt;height:59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210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8" style="position:absolute;margin-left:6218.1pt;margin-top:596.9pt;width:82.25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212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99" style="position:absolute;margin-left:7197.5pt;margin-top:617.9pt;width:82.45pt;height:59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246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0" style="position:absolute;margin-left:7212.85pt;margin-top:648.3pt;width:81.9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1" style="position:absolute;margin-left:7318pt;margin-top:595.3pt;width:81.85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251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2" style="position:absolute;margin-left:7456.2pt;margin-top:606.85pt;width:109.35pt;height:89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254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3" style="position:absolute;margin-left:7456.35pt;margin-top:654.35pt;width:164.45pt;height:59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255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4" style="position:absolute;margin-left:7483.75pt;margin-top:650.5pt;width:82.4pt;height:67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256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5" style="position:absolute;margin-left:7511.15pt;margin-top:659.35pt;width:161.55pt;height:50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47</x:Row><x:Column>257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6" style="position:absolute;margin-left:7648.15pt;margin-top:668.25pt;width:82pt;height:59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262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7" style="position:absolute;margin-left:7675.1pt;margin-top:672.3pt;width:164.3pt;height:50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263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8" style="position:absolute;margin-left:7902.35pt;margin-top:672.3pt;width:82.1pt;height:50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47</x:Row><x:Column>271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09" style="position:absolute;margin-left:184.4pt;margin-top:584pt;width:84.75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0" style="position:absolute;margin-left:447.2pt;margin-top:608.65pt;width:82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1" style="position:absolute;margin-left:5205.5pt;margin-top:608.65pt;width:164.8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48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2" style="position:absolute;margin-left:5286.5pt;margin-top:654.1pt;width:82.05pt;height:32.8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48</x:Row><x:Column>179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3" style="position:absolute;margin-left:184.4pt;margin-top:697.6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49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4" style="position:absolute;margin-left:1306.65pt;margin-top:481.45pt;width:69.6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50</x:Row><x:Column>40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5" style="position:absolute;margin-left:1393.05pt;margin-top:481.65pt;width:69.9pt;height:23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50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6" style="position:absolute;margin-left:3208.35pt;margin-top:625pt;width:70.55pt;height:51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50</x:Row><x:Column>108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7" style="position:absolute;margin-left:4611.95pt;margin-top:688.9pt;width:70.5pt;height:23.6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50</x:Row><x:Column>159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8" style="position:absolute;margin-left:1409.4pt;margin-top:584.3pt;width:105.6pt;height:139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51</x:Row><x:Column>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19" style="position:absolute;margin-left:1425.75pt;margin-top:722.2pt;width:81.9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53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0" style="position:absolute;margin-left:5684.35pt;margin-top:722.2pt;width:81.7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53</x:Row><x:Column>192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1" style="position:absolute;margin-left:325.65pt;margin-top:761.35pt;width:81.9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55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2" style="position:absolute;margin-left:4952.8pt;margin-top:760.6pt;width:81.9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55</x:Row><x:Column>167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3" style="position:absolute;margin-left:382.4pt;margin-top:786.2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56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4" style="position:absolute;margin-left:382.4pt;margin-top:786.1pt;width:81.9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57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5" style="position:absolute;margin-left:5715.2pt;margin-top:772.85pt;width:82.1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57</x:Row><x:Column>193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6" style="position:absolute;margin-left:5771.8pt;margin-top:772.85pt;width:82.0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57</x:Row><x:Column>195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7" style="position:absolute;margin-left:224.35pt;margin-top:469.1pt;width:71.45pt;height:47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58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8" style="position:absolute;margin-left:6451.5pt;margin-top:1072.85pt;width:70.4pt;height:33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58</x:Row><x:Column>222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29" style="position:absolute;margin-left:1525pt;margin-top:750.8pt;width:70.35pt;height:49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59</x:Row><x:Column>48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0" style="position:absolute;margin-left:3951.2pt;margin-top:763.3pt;width:69.95pt;height:41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59</x:Row><x:Column>135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1" style="position:absolute;margin-left:148.15pt;margin-top:789.3pt;width:104.3pt;height:67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60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2" style="position:absolute;margin-left:1596.25pt;margin-top:749.8pt;width:81.95pt;height:67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60</x:Row><x:Column>49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3" style="position:absolute;margin-left:227.05pt;margin-top:875.1pt;width:81.8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64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4" style="position:absolute;margin-left:7906.25pt;margin-top:875.1pt;width:81.85pt;height:32.4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64</x:Row><x:Column>271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5" style="position:absolute;margin-left:447.2pt;margin-top:926pt;width:81.9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68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6" style="position:absolute;margin-left:184.4pt;margin-top:951.6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69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7" style="position:absolute;margin-left:359.3pt;margin-top:951.9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69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8" style="position:absolute;margin-left:184.4pt;margin-top:964.3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70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39" style="position:absolute;margin-left:359.3pt;margin-top:964.6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70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0" style="position:absolute;margin-left:447.2pt;margin-top:977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71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1" style="position:absolute;margin-left:329.25pt;margin-top:863.05pt;width:70.7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2" style="position:absolute;margin-left:227.05pt;margin-top:1002.1pt;width:81.8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74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3" style="position:absolute;margin-left:382.4pt;margin-top:1002.2pt;width:81.95pt;height:23.8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74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4" style="position:absolute;margin-left:1750.95pt;margin-top:915.9pt;width:96.2pt;height:25.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74</x:Row><x:Column>55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5" style="position:absolute;margin-left:5235.55pt;margin-top:1002.1pt;width:126.85pt;height:59.2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74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6" style="position:absolute;margin-left:339.4pt;margin-top:851.1pt;width:70.55pt;height:23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75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7" style="position:absolute;margin-left:301.3pt;margin-top:925.3pt;width:83.85pt;height:14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77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8" style="position:absolute;margin-left:163pt;margin-top:711.35pt;width:109.9pt;height:54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78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49" style="position:absolute;margin-left:797.55pt;margin-top:741.3pt;width:69.65pt;height:33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78</x:Row><x:Column>19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0" style="position:absolute;margin-left:935.3pt;margin-top:716.05pt;width:97.5pt;height:59.1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78</x:Row><x:Column>23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1" style="position:absolute;margin-left:2981.1pt;margin-top:977.8pt;width:80.05pt;height:51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78</x:Row><x:Column>104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2" style="position:absolute;margin-left:3306.15pt;margin-top:982.85pt;width:70.2pt;height:24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78</x:Row><x:Column>114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3" style="position:absolute;margin-left:4795.55pt;margin-top:970.25pt;width:70.5pt;height:50.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78</x:Row><x:Column>170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4" style="position:absolute;margin-left:4984.6pt;margin-top:998.2pt;width:70.2pt;height:23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78</x:Row><x:Column>173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5" style="position:absolute;margin-left:5088.75pt;margin-top:954.2pt;width:82.05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78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6" style="position:absolute;margin-left:5704.85pt;margin-top:970.8pt;width:77.4pt;height:51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78</x:Row><x:Column>200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7" style="position:absolute;margin-left:6181.7pt;margin-top:741.3pt;width:70.85pt;height:24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78</x:Row><x:Column>234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8" style="position:absolute;margin-left:184.4pt;margin-top:1078.6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79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59" style="position:absolute;margin-left:184.4pt;margin-top:1091.3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80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0" style="position:absolute;margin-left:382.4pt;margin-top:1091.6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80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1" style="position:absolute;margin-left:358.4pt;margin-top:286.3pt;width:70.65pt;height:42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2" style="position:absolute;margin-left:1766.8pt;margin-top:1332.3pt;width:70.4pt;height:23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81</x:Row><x:Column>59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3" style="position:absolute;margin-left:3941.5pt;margin-top:1337.3pt;width:96.45pt;height:6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81</x:Row><x:Column>136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4" style="position:absolute;margin-left:103.4pt;margin-top:1335.2pt;width:88.2pt;height:76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5" style="position:absolute;margin-left:227.05pt;margin-top:1129.45pt;width:81.8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85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6" style="position:absolute;margin-left:382.4pt;margin-top:1142.55pt;width:81.9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85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7" style="position:absolute;margin-left:2011.65pt;margin-top:1129.5pt;width:81.7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85</x:Row><x:Column>63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8" style="position:absolute;margin-left:3640.95pt;margin-top:1129.45pt;width:81.9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85</x:Row><x:Column>121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69" style="position:absolute;margin-left:359.3pt;margin-top:1167.95pt;width:81.9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87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0" style="position:absolute;margin-left:301.8pt;margin-top:1169.95pt;width:87.1pt;height:32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87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1" style="position:absolute;margin-left:184.4pt;margin-top:1108.2pt;width:84.75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88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2" style="position:absolute;margin-left:227.05pt;margin-top:1180.75pt;width:82.0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88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3" style="position:absolute;margin-left:1374.75pt;margin-top:1130.25pt;width:164.05pt;height:50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88</x:Row><x:Column>40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4" style="position:absolute;margin-left:1626.75pt;margin-top:1130.25pt;width:81.9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88</x:Row><x:Column>49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5" style="position:absolute;margin-left:2401.95pt;margin-top:1130.25pt;width:82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88</x:Row><x:Column>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6" style="position:absolute;margin-left:3727.25pt;margin-top:1130.25pt;width:82.45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88</x:Row><x:Column>124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7" style="position:absolute;margin-left:5674.4pt;margin-top:1107.7pt;width:122.05pt;height:85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88</x:Row><x:Column>195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8" style="position:absolute;margin-left:5889.85pt;margin-top:1120.2pt;width:97.9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88</x:Row><x:Column>200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79" style="position:absolute;margin-left:323.6pt;margin-top:1172.15pt;width:81.95pt;height:50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90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0" style="position:absolute;margin-left:3840.5pt;margin-top:1128.25pt;width:110.15pt;height:103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90</x:Row><x:Column>128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1" style="position:absolute;margin-left:7679pt;margin-top:1310.35pt;width:81.8pt;height:41.3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92</x:Row><x:Column>263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2" style="position:absolute;margin-left:447.2pt;margin-top:1389.15pt;width:81.9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93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3" style="position:absolute;margin-left:177.8pt;margin-top:1041.35pt;width:107.15pt;height:41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95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4" style="position:absolute;margin-left:227.8pt;margin-top:1095.85pt;width:78pt;height:56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98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5" style="position:absolute;margin-left:281.9pt;margin-top:1461.45pt;width:100.9pt;height:67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99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6" style="position:absolute;margin-left:227.05pt;margin-top:1225.8pt;width:82.3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100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7" style="position:absolute;margin-left:405.5pt;margin-top:1359.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100</x:Row><x:Column>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8" style="position:absolute;margin-left:1952.2pt;margin-top:1376.7pt;width:107.25pt;height:34.1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100</x:Row><x:Column>65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89" style="position:absolute;margin-left:5151.3pt;margin-top:1375.2pt;width:83pt;height:41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100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0" style="position:absolute;margin-left:5663.25pt;margin-top:1364.65pt;width:82.5pt;height:58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100</x:Row><x:Column>195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1" style="position:absolute;margin-left:7126.9pt;margin-top:1383.75pt;width:82.9pt;height:42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100</x:Row><x:Column>251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2" style="position:absolute;margin-left:382.4pt;margin-top:1450.85pt;width:81.95pt;height:24.0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102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3" style="position:absolute;margin-left:291.35pt;margin-top:1415.15pt;width:101.35pt;height:25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108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4" style="position:absolute;margin-left:2452.65pt;margin-top:1527.1pt;width:81.95pt;height:16.8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108</x:Row><x:Column>79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5" style="position:absolute;margin-left:359.3pt;margin-top:1473.8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109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6" style="position:absolute;margin-left:376.95pt;margin-top:1481.3pt;width:81.95pt;height:23.8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109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7" style="position:absolute;margin-left:359.3pt;margin-top:1552.5pt;width:81.9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110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8" style="position:absolute;margin-left:227.05pt;margin-top:1552.05pt;width:82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111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199" style="position:absolute;margin-left:1366pt;margin-top:1596pt;width:123.75pt;height:103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111</x:Row><x:Column>40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0" style="position:absolute;margin-left:1728.35pt;margin-top:1617.65pt;width:81.7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111</x:Row><x:Column>53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1" style="position:absolute;margin-left:1928.25pt;margin-top:1568.6pt;width:81.95pt;height:121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111</x:Row><x:Column>60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2" style="position:absolute;margin-left:2065.2pt;margin-top:1598.55pt;width:101.75pt;height:69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111</x:Row><x:Column>65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3" style="position:absolute;margin-left:3164.35pt;margin-top:1588.05pt;width:78.6pt;height:50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111</x:Row><x:Column>108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4" style="position:absolute;margin-left:4549pt;margin-top:1617.55pt;width:82.1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111</x:Row><x:Column>153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5" style="position:absolute;margin-left:312.6pt;margin-top:1403.1pt;width:76.55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6" style="position:absolute;margin-left:382.4pt;margin-top:1524.65pt;width:82.15pt;height:41.3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113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7" style="position:absolute;margin-left:227.45pt;margin-top:1545.6pt;width:71.9pt;height:49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116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8" style="position:absolute;margin-left:1768.35pt;margin-top:1559.7pt;width:69.3pt;height:58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116</x:Row><x:Column>58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09" style="position:absolute;margin-left:3123.9pt;margin-top:1629.1pt;width:69.75pt;height:30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116</x:Row><x:Column>109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0" style="position:absolute;margin-left:5235.55pt;margin-top:1615.55pt;width:82pt;height:32.4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116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1" style="position:absolute;margin-left:5296.1pt;margin-top:1681.35pt;width:98.3pt;height:85.6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116</x:Row><x:Column>179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2" style="position:absolute;margin-left:189.7pt;margin-top:1641.7pt;width:96.75pt;height:52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3" style="position:absolute;margin-left:217.8pt;margin-top:1652.65pt;width:146.5pt;height:103.8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118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4" style="position:absolute;margin-left:2257.05pt;margin-top:1735.85pt;width:82.05pt;height:76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118</x:Row><x:Column>73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5" style="position:absolute;margin-left:2603.7pt;margin-top:1726.7pt;width:82.25pt;height:76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118</x:Row><x:Column>86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6" style="position:absolute;margin-left:4654.75pt;margin-top:1663.45pt;width:131.3pt;height:139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118</x:Row><x:Column>160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7" style="position:absolute;margin-left:5829.15pt;margin-top:1712.75pt;width:91.4pt;height:76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118</x:Row><x:Column>200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8" style="position:absolute;margin-left:6128.5pt;margin-top:1743.45pt;width:82.05pt;height:68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118</x:Row><x:Column>212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19" style="position:absolute;margin-left:1188.3pt;margin-top:1924.55pt;width:82.25pt;height:40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120</x:Row><x:Column>38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0" style="position:absolute;margin-left:1390.2pt;margin-top:1924.55pt;width:81.9pt;height:33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120</x:Row><x:Column>40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1" style="position:absolute;margin-left:2445pt;margin-top:1925.3pt;width:82.7pt;height:28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120</x:Row><x:Column>80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2" style="position:absolute;margin-left:5152.4pt;margin-top:1807pt;width:82.25pt;height:50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120</x:Row><x:Column>179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3" style="position:absolute;margin-left:7714.5pt;margin-top:1916.15pt;width:82pt;height:23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120</x:Row><x:Column>264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4" style="position:absolute;margin-left:2425.25pt;margin-top:1994.85pt;width:81.7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121</x:Row><x:Column>78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5" style="position:absolute;margin-left:184.4pt;margin-top:1895.9pt;width:163.95pt;height:50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6" style="position:absolute;margin-left:382.4pt;margin-top:1652.4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122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7" style="position:absolute;margin-left:4678.85pt;margin-top:1878.65pt;width:82.3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122</x:Row><x:Column>159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8" style="position:absolute;margin-left:227.05pt;margin-top:1918.35pt;width:82.05pt;height:139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123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29" style="position:absolute;margin-left:878.9pt;margin-top:1908.5pt;width:164pt;height:50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123</x:Row><x:Column>23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0" style="position:absolute;margin-left:4526.85pt;margin-top:2015.75pt;width:81.9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124</x:Row><x:Column>154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1" style="position:absolute;margin-left:184.2pt;margin-top:1717.9pt;width:87.05pt;height:49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126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2" style="position:absolute;margin-left:262.1pt;margin-top:2072pt;width:139.9pt;height:112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128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3" style="position:absolute;margin-left:2632.05pt;margin-top:1990pt;width:154.85pt;height:51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128</x:Row><x:Column>94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4" style="position:absolute;margin-left:359.3pt;margin-top:1741.4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129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5" style="position:absolute;margin-left:2970.45pt;margin-top:1741.35pt;width:122pt;height:68.1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129</x:Row><x:Column>97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6" style="position:absolute;margin-left:359.3pt;margin-top:1792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133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7" style="position:absolute;margin-left:1206.65pt;margin-top:2061.75pt;width:81.95pt;height:49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134</x:Row><x:Column>36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8" style="position:absolute;margin-left:1434.9pt;margin-top:2076.4pt;width:82.4pt;height:30.7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134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39" style="position:absolute;margin-left:7208.05pt;margin-top:2071.25pt;width:82.95pt;height:23.1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134</x:Row><x:Column>250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0" style="position:absolute;margin-left:382.4pt;margin-top:1817.3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135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1" style="position:absolute;margin-left:175.1pt;margin-top:1632pt;width:110.2pt;height:30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137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2" style="position:absolute;margin-left:382.4pt;margin-top:1986.7pt;width:82pt;height:23.8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139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3" style="position:absolute;margin-left:232.25pt;margin-top:1997.75pt;width:86.15pt;height:67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141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4" style="position:absolute;margin-left:284.55pt;margin-top:1862.2pt;width:98.25pt;height:68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144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5" style="position:absolute;margin-left:359.3pt;margin-top:2101.9pt;width:81.9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146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6" style="position:absolute;margin-left:405.5pt;margin-top:2101.9pt;width:81.9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146</x:Row><x:Column>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7" style="position:absolute;margin-left:1417.1pt;margin-top:1918.75pt;width:80.2pt;height:38.1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146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8" style="position:absolute;margin-left:5121pt;margin-top:2147pt;width:81.2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146</x:Row><x:Column>183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49" style="position:absolute;margin-left:7209.6pt;margin-top:2223.35pt;width:82.4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146</x:Row><x:Column>250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0" style="position:absolute;margin-left:5197.45pt;margin-top:2213.5pt;width:82.5pt;height:50.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147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1" style="position:absolute;margin-left:382.4pt;margin-top:1982.9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148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2" style="position:absolute;margin-left:163pt;margin-top:1655.3pt;width:109.9pt;height:54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149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3" style="position:absolute;margin-left:382.4pt;margin-top:2113.7pt;width:82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149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4" style="position:absolute;margin-left:184.4pt;margin-top:2139.15pt;width:82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5" style="position:absolute;margin-left:3575.8pt;margin-top:2273.05pt;width:69.6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151</x:Row><x:Column>120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6" style="position:absolute;margin-left:359.3pt;margin-top:2151.85pt;width:82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152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7" style="position:absolute;margin-left:305.1pt;margin-top:2019.3pt;width:86.4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8" style="position:absolute;margin-left:184.4pt;margin-top:2046pt;width:82.15pt;height:50.3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59" style="position:absolute;margin-left:382.4pt;margin-top:2046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153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0" style="position:absolute;margin-left:184.4pt;margin-top:2058.7pt;width:82.15pt;height:50.3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1" style="position:absolute;margin-left:382.4pt;margin-top:2058.7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154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2" style="position:absolute;margin-left:382.4pt;margin-top:2071.5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155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3" style="position:absolute;margin-left:707.7pt;margin-top:2418.2pt;width:101.55pt;height:85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155</x:Row><x:Column>17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4" style="position:absolute;margin-left:1132.85pt;margin-top:2088.75pt;width:113.35pt;height:46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155</x:Row><x:Column>34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5" style="position:absolute;margin-left:7167.65pt;margin-top:2370.85pt;width:109.4pt;height:76.8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155</x:Row><x:Column>250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6" style="position:absolute;margin-left:382.4pt;margin-top:2084.3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156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7" style="position:absolute;margin-left:303.55pt;margin-top:2047.85pt;width:84.2pt;height:58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157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8" style="position:absolute;margin-left:1429.55pt;margin-top:2071.4pt;width:96.35pt;height:28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157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69" style="position:absolute;margin-left:4147.9pt;margin-top:2045.75pt;width:81.75pt;height:3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157</x:Row><x:Column>143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0" style="position:absolute;margin-left:5060.15pt;margin-top:2039.55pt;width:81.3pt;height:32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157</x:Row><x:Column>174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1" style="position:absolute;margin-left:97.05pt;margin-top:2351.6pt;width:82.05pt;height:44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159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2" style="position:absolute;margin-left:258.7pt;margin-top:2139.75pt;width:81.9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159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3" style="position:absolute;margin-left:1791.25pt;margin-top:2319.6pt;width:81.9pt;height:50.3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159</x:Row><x:Column>55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4" style="position:absolute;margin-left:3826.7pt;margin-top:2421.6pt;width:82.15pt;height:50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159</x:Row><x:Column>128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5" style="position:absolute;margin-left:3914.95pt;margin-top:2477.35pt;width:82.2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159</x:Row><x:Column>131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6" style="position:absolute;margin-left:5260.15pt;margin-top:2328.15pt;width:82.25pt;height:85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159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7" style="position:absolute;margin-left:60.3pt;margin-top:2146.35pt;width:107.35pt;height:41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161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8" style="position:absolute;margin-left:329pt;margin-top:2433.3pt;width:81.8pt;height:33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161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79" style="position:absolute;margin-left:243.45pt;margin-top:2145.6pt;width:81.9pt;height:50.3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163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0" style="position:absolute;margin-left:184.4pt;margin-top:2553.6pt;width:83.5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165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1" style="position:absolute;margin-left:382.4pt;margin-top:2236.7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168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2" style="position:absolute;margin-left:239.15pt;margin-top:2591.25pt;width:110.75pt;height:85.7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170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3" style="position:absolute;margin-left:184.2pt;margin-top:2272.2pt;width:87.1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172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4" style="position:absolute;margin-left:1535.35pt;margin-top:2628.95pt;width:81.8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173</x:Row><x:Column>46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5" style="position:absolute;margin-left:227.05pt;margin-top:2312.9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174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6" style="position:absolute;margin-left:191.5pt;margin-top:2325.5pt;width:104.3pt;height:40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176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7" style="position:absolute;margin-left:227.05pt;margin-top:2430.45pt;width:82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176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8" style="position:absolute;margin-left:227.05pt;margin-top:2376.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179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89" style="position:absolute;margin-left:227.05pt;margin-top:2389.2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180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0" style="position:absolute;margin-left:227.05pt;margin-top:2585.45pt;width:81.9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182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1" style="position:absolute;margin-left:322.25pt;margin-top:2434.2pt;width:70.45pt;height:33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2" style="position:absolute;margin-left:536.25pt;margin-top:2648.85pt;width:98.4pt;height:69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3" style="position:absolute;margin-left:631.75pt;margin-top:2619.05pt;width:101.2pt;height:130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4" style="position:absolute;margin-left:635.2pt;margin-top:2530.75pt;width:94.55pt;height:85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5" style="position:absolute;margin-left:600.85pt;margin-top:2516.35pt;width:127.6pt;height:118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6" style="position:absolute;margin-left:1000.7pt;margin-top:2583.45pt;width:123.95pt;height:112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33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7" style="position:absolute;margin-left:1156.55pt;margin-top:2595.85pt;width:98.55pt;height:67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37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8" style="position:absolute;margin-left:1219.45pt;margin-top:2522.85pt;width:85.05pt;height:67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39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299" style="position:absolute;margin-left:1277.75pt;margin-top:2574.6pt;width:125.4pt;height:94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40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0" style="position:absolute;margin-left:1331.9pt;margin-top:2594.4pt;width:98pt;height:64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1" style="position:absolute;margin-left:1427.15pt;margin-top:2597.55pt;width:112.05pt;height:103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2" style="position:absolute;margin-left:1575.05pt;margin-top:2596.95pt;width:82.15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3" style="position:absolute;margin-left:1669.2pt;margin-top:2572.95pt;width:81.75pt;height:103.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54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4" style="position:absolute;margin-left:1681.7pt;margin-top:2479.6pt;width:153.85pt;height:107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55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5" style="position:absolute;margin-left:1848.85pt;margin-top:2607.9pt;width:81.75pt;height:50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182</x:Row><x:Column>58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6" style="position:absolute;margin-left:1945.45pt;margin-top:2544.1pt;width:77.35pt;height:6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60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7" style="position:absolute;margin-left:2045.7pt;margin-top:2386pt;width:95.65pt;height:67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67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8" style="position:absolute;margin-left:2356.55pt;margin-top:2648.45pt;width:69.8pt;height:50.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76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09" style="position:absolute;margin-left:2545.85pt;margin-top:2611.55pt;width:98.4pt;height:59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87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0" style="position:absolute;margin-left:2656.2pt;margin-top:2743.6pt;width:82.05pt;height:50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182</x:Row><x:Column>90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1" style="position:absolute;margin-left:2713.5pt;margin-top:2668.15pt;width:129.3pt;height:119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91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2" style="position:absolute;margin-left:2774.25pt;margin-top:2579.25pt;width:95.3pt;height:103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92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3" style="position:absolute;margin-left:2691.15pt;margin-top:2531.1pt;width:82pt;height:87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94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4" style="position:absolute;margin-left:2882.2pt;margin-top:2575.6pt;width:82.3pt;height:112.4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96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5" style="position:absolute;margin-left:2995.25pt;margin-top:2580.65pt;width:82.1pt;height:112.4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6" style="position:absolute;margin-left:3186.15pt;margin-top:2535.1pt;width:140.2pt;height:69.3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108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7" style="position:absolute;margin-left:3428.35pt;margin-top:2502.1pt;width:133.15pt;height:112.4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120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8" style="position:absolute;margin-left:3641.05pt;margin-top:2617.05pt;width:81.85pt;height:50.2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126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19" style="position:absolute;margin-left:3736.9pt;margin-top:2555.8pt;width:81.95pt;height:50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128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0" style="position:absolute;margin-left:3959.85pt;margin-top:2645.7pt;width:59.1pt;height:50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138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1" style="position:absolute;margin-left:4027.3pt;margin-top:2615.8pt;width:82.15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139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2" style="position:absolute;margin-left:4076.65pt;margin-top:2643.7pt;width:81.75pt;height:50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3" style="position:absolute;margin-left:4100.05pt;margin-top:2525.35pt;width:110.5pt;height:97.8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143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4" style="position:absolute;margin-left:4230.75pt;margin-top:2640.9pt;width:82.5pt;height:58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145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5" style="position:absolute;margin-left:4294.5pt;margin-top:2384.35pt;width:83.75pt;height:49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6" style="position:absolute;margin-left:4632.2pt;margin-top:2600.75pt;width:91.4pt;height: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160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7" style="position:absolute;margin-left:4766.45pt;margin-top:2596.55pt;width:82pt;height:67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165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8" style="position:absolute;margin-left:4888.45pt;margin-top:2647.65pt;width:82.05pt;height:50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170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29" style="position:absolute;margin-left:5067.25pt;margin-top:2511.35pt;width:105.3pt;height:139.2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0" style="position:absolute;margin-left:5164.55pt;margin-top:2611.95pt;width:82.05pt;height:59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182</x:Row><x:Column>179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1" style="position:absolute;margin-left:5224.9pt;margin-top:2534.15pt;width:81.95pt;height:58.4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180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2" style="position:absolute;margin-left:5250.15pt;margin-top:2478pt;width:135.2pt;height:130.1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183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3" style="position:absolute;margin-left:5532.45pt;margin-top:2756.55pt;width:82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182</x:Row><x:Column>187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4" style="position:absolute;margin-left:5976.25pt;margin-top:2555.7pt;width:82.85pt;height:72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208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5" style="position:absolute;margin-left:6053.35pt;margin-top:2554.15pt;width:86.9pt;height:66.2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209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6" style="position:absolute;margin-left:6078pt;margin-top:2574.1pt;width:94.6pt;height:62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210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7" style="position:absolute;margin-left:6139.55pt;margin-top:2617.95pt;width:82.25pt;height:58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212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8" style="position:absolute;margin-left:6237.65pt;margin-top:2633.15pt;width:82.1pt;height:59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216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39" style="position:absolute;margin-left:6323.3pt;margin-top:2586.9pt;width:70.05pt;height:76.8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222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0" style="position:absolute;margin-left:6503.4pt;margin-top:2642.9pt;width:82pt;height:50.4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225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1" style="position:absolute;margin-left:6528.8pt;margin-top:2583.85pt;width:88.6pt;height:62.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228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2" style="position:absolute;margin-left:6646.9pt;margin-top:2504.3pt;width:100.8pt;height:100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235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3" style="position:absolute;margin-left:6758.75pt;margin-top:2634.35pt;width:70.15pt;height:50.1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237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4" style="position:absolute;margin-left:6832.25pt;margin-top:2604.4pt;width:82.2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238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5" style="position:absolute;margin-left:6885.2pt;margin-top:2519.65pt;width:100.1pt;height:84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239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6" style="position:absolute;margin-left:6878.3pt;margin-top:2506.2pt;width:121.9pt;height:113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7" style="position:absolute;margin-left:6879.45pt;margin-top:2592.95pt;width:62.35pt;height:58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8" style="position:absolute;margin-left:6913.15pt;margin-top:2598.4pt;width:62.5pt;height:55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49" style="position:absolute;margin-left:7038pt;margin-top:2676.7pt;width:82.8pt;height:77.3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0" style="position:absolute;margin-left:7018.1pt;margin-top:2567.35pt;width:82.25pt;height:28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182</x:Row><x:Column>244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1" style="position:absolute;margin-left:6996.55pt;margin-top:2553.1pt;width:70.3pt;height:55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2" style="position:absolute;margin-left:7015.15pt;margin-top:2543.35pt;width:90.05pt;height:69.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3" style="position:absolute;margin-left:7089.7pt;margin-top:2535.5pt;width:89pt;height:68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4" style="position:absolute;margin-left:7097.25pt;margin-top:2623.45pt;width:87.05pt;height:69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249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5" style="position:absolute;margin-left:7224.65pt;margin-top:2543.15pt;width:81.95pt;height:78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6" style="position:absolute;margin-left:7245.15pt;margin-top:2666.75pt;width:82.05pt;height:50.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251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7" style="position:absolute;margin-left:7269.05pt;margin-top:2610.35pt;width:91.8pt;height:73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252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8" style="position:absolute;margin-left:7264.6pt;margin-top:2600.55pt;width:58.8pt;height:58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253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59" style="position:absolute;margin-left:7839.75pt;margin-top:2634pt;width:89.5pt;height:68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270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0" style="position:absolute;margin-left:7905.1pt;margin-top:2618.4pt;width:107.65pt;height:101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182</x:Row><x:Column>271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1" style="position:absolute;margin-left:184.4pt;margin-top:2413.75pt;width:87.1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2" style="position:absolute;margin-left:2886.2pt;margin-top:2425.45pt;width:121.55pt;height:58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184</x:Row><x:Column>101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3" style="position:absolute;margin-left:6534.9pt;margin-top:2413.75pt;width:82.8pt;height:57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184</x:Row><x:Column>223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4" style="position:absolute;margin-left:227.05pt;margin-top:2492.75pt;width:82.0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187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5" style="position:absolute;margin-left:290.85pt;margin-top:2808.8pt;width:74.7pt;height:51.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187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6" style="position:absolute;margin-left:3964.9pt;margin-top:2685.75pt;width:112.25pt;height:59.2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187</x:Row><x:Column>138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7" style="position:absolute;margin-left:4088.95pt;margin-top:2689.7pt;width:81.65pt;height:5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187</x:Row><x:Column>141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8" style="position:absolute;margin-left:382.4pt;margin-top:2556.55pt;width:82.0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188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69" style="position:absolute;margin-left:163pt;margin-top:2137.75pt;width:109.9pt;height:55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190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0" style="position:absolute;margin-left:324.45pt;margin-top:2127.15pt;width:111.55pt;height:76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190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1" style="position:absolute;margin-left:4231.9pt;margin-top:2910.35pt;width:91.75pt;height:42.2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190</x:Row><x:Column>143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2" style="position:absolute;margin-left:382.4pt;margin-top:2620.1pt;width:82.0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193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3" style="position:absolute;margin-left:184.4pt;margin-top:2581.65pt;width:86.3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195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4" style="position:absolute;margin-left:7131.25pt;margin-top:2948.9pt;width:68.8pt;height:41.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198</x:Row><x:Column>248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5" style="position:absolute;margin-left:184.4pt;margin-top:2630.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199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6" style="position:absolute;margin-left:6303.45pt;margin-top:2630.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199</x:Row><x:Column>214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7" style="position:absolute;margin-left:184.4pt;margin-top:2643.2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8" style="position:absolute;margin-left:6303.45pt;margin-top:2643.2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200</x:Row><x:Column>214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79" style="position:absolute;margin-left:6881.4pt;margin-top:3052.45pt;width:82.3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201</x:Row><x:Column>237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0" style="position:absolute;margin-left:11.45pt;margin-top:2965.3pt;width:99.65pt;height:59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202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1" style="position:absolute;margin-left:335.1pt;margin-top:2621.5pt;width:79.95pt;height:49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2" style="position:absolute;margin-left:855.8pt;margin-top:2622.1pt;width:96.35pt;height:75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21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3" style="position:absolute;margin-left:1437.6pt;margin-top:2883pt;width:82.0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44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4" style="position:absolute;margin-left:1502.15pt;margin-top:2634.05pt;width:82.25pt;height:43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45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5" style="position:absolute;margin-left:1590.05pt;margin-top:2927.6pt;width:81.95pt;height:30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48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6" style="position:absolute;margin-left:4029.4pt;margin-top:2813.85pt;width:53.2pt;height:36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139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7" style="position:absolute;margin-left:5591.05pt;margin-top:2688.85pt;width:87.85pt;height:58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194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8" style="position:absolute;margin-left:5691.4pt;margin-top:2938.45pt;width:82.25pt;height:23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196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89" style="position:absolute;margin-left:6279.5pt;margin-top:3023.2pt;width:82.9pt;height:23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217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0" style="position:absolute;margin-left:6673.4pt;margin-top:2989.2pt;width:82.4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236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1" style="position:absolute;margin-left:6967.6pt;margin-top:2861.5pt;width:81.85pt;height:50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202</x:Row><x:Column>243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2" style="position:absolute;margin-left:447.2pt;margin-top:2681pt;width:82.15pt;height:34.4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203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3" style="position:absolute;margin-left:359.3pt;margin-top:2706.4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205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4" style="position:absolute;margin-left:382.4pt;margin-top:2706.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205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5" style="position:absolute;margin-left:295.55pt;margin-top:2726.15pt;width:81.9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205</x:Row><x:Column>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6" style="position:absolute;margin-left:359.3pt;margin-top:2719.1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206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7" style="position:absolute;margin-left:184pt;margin-top:2696.05pt;width:86.5pt;height:27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207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8" style="position:absolute;margin-left:184.4pt;margin-top:2745.0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399" style="position:absolute;margin-left:184.4pt;margin-top:2757.5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209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0" style="position:absolute;margin-left:211.5pt;margin-top:3073.25pt;width:79.6pt;height:58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210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1" style="position:absolute;margin-left:455.4pt;margin-top:3010.7pt;width:94.95pt;height:85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210</x:Row><x:Column>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2" style="position:absolute;margin-left:1176.7pt;margin-top:2723.6pt;width:107.8pt;height:67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210</x:Row><x:Column>39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3" style="position:absolute;margin-left:1707.2pt;margin-top:2730.8pt;width:70.35pt;height:50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210</x:Row><x:Column>51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4" style="position:absolute;margin-left:4075.45pt;margin-top:3091.8pt;width:70.85pt;height:49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210</x:Row><x:Column>141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5" style="position:absolute;margin-left:4538.05pt;margin-top:3073.55pt;width:69.75pt;height:50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210</x:Row><x:Column>156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6" style="position:absolute;margin-left:5084.3pt;margin-top:3038.1pt;width:115.7pt;height:78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210</x:Row><x:Column>175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7" style="position:absolute;margin-left:5795.2pt;margin-top:3034.9pt;width:90.15pt;height:130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210</x:Row><x:Column>200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8" style="position:absolute;margin-left:5960.6pt;margin-top:3043.85pt;width:85pt;height:103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210</x:Row><x:Column>205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09" style="position:absolute;margin-left:25.45pt;margin-top:2728.3pt;width:131.1pt;height:77.1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211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0" style="position:absolute;margin-left:3987.2pt;margin-top:3107.15pt;width:70.3pt;height:4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212</x:Row><x:Column>137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1" style="position:absolute;margin-left:382.4pt;margin-top:2860.55pt;width:82.0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214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2" style="position:absolute;margin-left:4351.4pt;margin-top:3070.6pt;width:90.65pt;height:28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214</x:Row><x:Column>155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3" style="position:absolute;margin-left:3631.05pt;margin-top:3178.75pt;width:91.5pt;height:32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216</x:Row><x:Column>126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4" style="position:absolute;margin-left:6866.05pt;margin-top:3240.95pt;width:76.3pt;height:35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216</x:Row><x:Column>239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5" style="position:absolute;margin-left:187.25pt;margin-top:3125.4pt;width:98.05pt;height:76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218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6" style="position:absolute;margin-left:382.4pt;margin-top:2936.8pt;width:82.0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218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7" style="position:absolute;margin-left:321.15pt;margin-top:2960.65pt;width:82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8" style="position:absolute;margin-left:4390.7pt;margin-top:3119.7pt;width:81.1pt;height:50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218</x:Row><x:Column>158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19" style="position:absolute;margin-left:4576.5pt;margin-top:3173.65pt;width:82.65pt;height:41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220</x:Row><x:Column>162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0" style="position:absolute;margin-left:308.5pt;margin-top:2596.5pt;width:78.35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221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1" style="position:absolute;margin-left:382.4pt;margin-top:2922.6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222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2" style="position:absolute;margin-left:1435.95pt;margin-top:3254.55pt;width:69.85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222</x:Row><x:Column>43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3" style="position:absolute;margin-left:5774.4pt;margin-top:3239.45pt;width:70.2pt;height:50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222</x:Row><x:Column>200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4" style="position:absolute;margin-left:6008.85pt;margin-top:3157.2pt;width:126.45pt;height:76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222</x:Row><x:Column>206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5" style="position:absolute;margin-left:192.6pt;margin-top:2565.75pt;width:105.65pt;height:43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224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6" style="position:absolute;margin-left:1659.5pt;margin-top:3175.75pt;width:99pt;height:32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224</x:Row><x:Column>55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7" style="position:absolute;margin-left:1794.5pt;margin-top:3177.7pt;width:98pt;height:30.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224</x:Row><x:Column>60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8" style="position:absolute;margin-left:4096.4pt;margin-top:3206.15pt;width:76.15pt;height:32.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224</x:Row><x:Column>145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29" style="position:absolute;margin-left:4266.8pt;margin-top:3185.65pt;width:58.95pt;height:41.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224</x:Row><x:Column>150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0" style="position:absolute;margin-left:6562.65pt;margin-top:3197pt;width:80.05pt;height:32.4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224</x:Row><x:Column>233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1" style="position:absolute;margin-left:227.05pt;margin-top:2947.9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225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2" style="position:absolute;margin-left:359.3pt;margin-top:2947.9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225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3" style="position:absolute;margin-left:242.1pt;margin-top:2515.2pt;width:71pt;height:41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227</x:Row><x:Column>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4" style="position:absolute;margin-left:3132.8pt;margin-top:3281.85pt;width:70.15pt;height:51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227</x:Row><x:Column>106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5" style="position:absolute;margin-left:359.3pt;margin-top:3037.3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231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6" style="position:absolute;margin-left:359.3pt;margin-top:3050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232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7" style="position:absolute;margin-left:382.4pt;margin-top:3194.45pt;width:81.9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232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8" style="position:absolute;margin-left:231.75pt;margin-top:3321.45pt;width:99.6pt;height:90.2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232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39" style="position:absolute;margin-left:1404.15pt;margin-top:2478.1pt;width:82.65pt;height:57.5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232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0" style="position:absolute;margin-left:6978.25pt;margin-top:3315.95pt;width:82.05pt;height:23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232</x:Row><x:Column>242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1" style="position:absolute;margin-left:227.05pt;margin-top:3062.8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233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2" style="position:absolute;margin-left:1547.55pt;margin-top:3340.85pt;width:70.1pt;height:57.6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233</x:Row><x:Column>47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3" style="position:absolute;margin-left:3322.3pt;margin-top:3396.2pt;width:98.45pt;height:28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233</x:Row><x:Column>115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4" style="position:absolute;margin-left:3412.2pt;margin-top:3396.6pt;width:70.2pt;height:24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233</x:Row><x:Column>116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5" style="position:absolute;margin-left:4799.35pt;margin-top:3394.2pt;width:71.5pt;height:23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233</x:Row><x:Column>166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6" style="position:absolute;margin-left:382.4pt;margin-top:3114.95pt;width:82.05pt;height:41.3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234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7" style="position:absolute;margin-left:382.4pt;margin-top:3140.2pt;width:82.0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236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8" style="position:absolute;margin-left:5563.5pt;margin-top:3271.6pt;width:81.95pt;height:59.2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236</x:Row><x:Column>188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49" style="position:absolute;margin-left:5592.05pt;margin-top:3242.3pt;width:81.95pt;height:52.8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236</x:Row><x:Column>189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0" style="position:absolute;margin-left:172.45pt;margin-top:2564.75pt;width:79.3pt;height:3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239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1" style="position:absolute;margin-left:289.1pt;margin-top:3320.55pt;width:74.65pt;height:33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240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2" style="position:absolute;margin-left:382.4pt;margin-top:3164.2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241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3" style="position:absolute;margin-left:2713.3pt;margin-top:3445.9pt;width:92.75pt;height:49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241</x:Row><x:Column>88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4" style="position:absolute;margin-left:37.3pt;margin-top:3486.2pt;width:89.2pt;height:23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5" style="position:absolute;margin-left:227.05pt;margin-top:3217.1pt;width:82.05pt;height:23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243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6" style="position:absolute;margin-left:27.45pt;margin-top:3539.9pt;width:90.5pt;height:32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7" style="position:absolute;margin-left:982.55pt;margin-top:3385.9pt;width:81.95pt;height:32.4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245</x:Row><x:Column>27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8" style="position:absolute;margin-left:5466.8pt;margin-top:3573.55pt;width:82.4pt;height:41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246</x:Row><x:Column>185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59" style="position:absolute;margin-left:382.4pt;margin-top:3240.2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247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0" style="position:absolute;margin-left:2822.8pt;margin-top:3589.65pt;width:82.75pt;height:23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248</x:Row><x:Column>92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1" style="position:absolute;margin-left:338.85pt;margin-top:3572pt;width:82pt;height:24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249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2" style="position:absolute;margin-left:624.75pt;margin-top:3382.15pt;width:81.7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249</x:Row><x:Column>14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3" style="position:absolute;margin-left:2538.9pt;margin-top:3624.7pt;width:82.85pt;height:23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249</x:Row><x:Column>82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4" style="position:absolute;margin-left:382.4pt;margin-top:3278.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250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5" style="position:absolute;margin-left:5222.7pt;margin-top:3563.05pt;width:83.15pt;height:68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250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6" style="position:absolute;margin-left:4437.65pt;margin-top:3613.2pt;width:82.25pt;height:23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251</x:Row><x:Column>152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7" style="position:absolute;margin-left:7312.6pt;margin-top:3560.15pt;width:82.3pt;height:23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251</x:Row><x:Column>251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8" style="position:absolute;margin-left:5619.1pt;margin-top:3553.95pt;width:80.8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253</x:Row><x:Column>194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69" style="position:absolute;margin-left:184.4pt;margin-top:3354.8pt;width:115.45pt;height:41.3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256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0" style="position:absolute;margin-left:382.4pt;margin-top:3354.8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256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1" style="position:absolute;margin-left:382.4pt;margin-top:3380.1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258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2" style="position:absolute;margin-left:5655.7pt;margin-top:3731.85pt;width:90.3pt;height:41.8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260</x:Row><x:Column>196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3" style="position:absolute;margin-left:184.4pt;margin-top:3749.15pt;width:103.45pt;height:67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261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4" style="position:absolute;margin-left:5838.25pt;margin-top:3674.7pt;width:64.45pt;height:34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262</x:Row><x:Column>200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5" style="position:absolute;margin-left:6002.1pt;margin-top:3772.35pt;width:81.95pt;height:41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263</x:Row><x:Column>203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6" style="position:absolute;margin-left:204.3pt;margin-top:3815.3pt;width:93.5pt;height:33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265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7" style="position:absolute;margin-left:256.85pt;margin-top:3529pt;width:92.4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268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8" style="position:absolute;margin-left:194.1pt;margin-top:2755.05pt;width:102.15pt;height:50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271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79" style="position:absolute;margin-left:5775.1pt;margin-top:2748.95pt;width:71.05pt;height:79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271</x:Row><x:Column>217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0" style="position:absolute;margin-left:447.2pt;margin-top:3669.95pt;width:82pt;height:50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1" style="position:absolute;margin-left:2822.8pt;margin-top:3826.9pt;width:82.15pt;height:50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272</x:Row><x:Column>92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2" style="position:absolute;margin-left:184.4pt;margin-top:3925.3pt;width:82.2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275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3" style="position:absolute;margin-left:336.2pt;margin-top:3609.25pt;width:82.15pt;height:23.8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276</x:Row><x:Column>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4" style="position:absolute;margin-left:382.4pt;margin-top:3674.55pt;width:82.05pt;height:32.4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277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5" style="position:absolute;margin-left:527.2pt;margin-top:2903.5pt;width:69.65pt;height:23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278</x:Row><x:Column>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6" style="position:absolute;margin-left:1206.45pt;margin-top:3900.85pt;width:70.55pt;height:32.1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278</x:Row><x:Column>36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7" style="position:absolute;margin-left:2593.45pt;margin-top:3835.75pt;width:81.4pt;height:49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278</x:Row><x:Column>91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8" style="position:absolute;margin-left:2680.75pt;margin-top:3814.9pt;width:69.7pt;height:58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278</x:Row><x:Column>92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89" style="position:absolute;margin-left:3461.9pt;margin-top:3803.05pt;width:84.7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278</x:Row><x:Column>120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0" style="position:absolute;margin-left:7209.6pt;margin-top:3898.5pt;width:82.4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278</x:Row><x:Column>250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1" style="position:absolute;margin-left:80.3pt;margin-top:3612.85pt;width:85.6pt;height:47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2" style="position:absolute;margin-left:1677.1pt;margin-top:3981.4pt;width:82.1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56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3" style="position:absolute;margin-left:3178.45pt;margin-top:3983.15pt;width:51.65pt;height:14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104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4" style="position:absolute;margin-left:4229.65pt;margin-top:3994.9pt;width:52.1pt;height:16.9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142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5" style="position:absolute;margin-left:4501.75pt;margin-top:3814.25pt;width:82.9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151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6" style="position:absolute;margin-left:4618.95pt;margin-top:3973.2pt;width:54.95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156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7" style="position:absolute;margin-left:4696pt;margin-top:3974.75pt;width:51.9pt;height:23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159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8" style="position:absolute;margin-left:5197.15pt;margin-top:3970.75pt;width:82.5pt;height:25.8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280</x:Row><x:Column>176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499" style="position:absolute;margin-left:184.4pt;margin-top:4040.9pt;width:83.15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0" style="position:absolute;margin-left:296.95pt;margin-top:4052.55pt;width:83.4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283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1" style="position:absolute;margin-left:184.4pt;margin-top:3894.3pt;width:83.3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287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2" style="position:absolute;margin-left:142.5pt;margin-top:3945.9pt;width:167.55pt;height:121.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287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3" style="position:absolute;margin-left:7435pt;margin-top:4121.3pt;width:78.35pt;height:22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290</x:Row><x:Column>258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4" style="position:absolute;margin-left:7483.4pt;margin-top:4119.55pt;width:66.05pt;height:25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290</x:Row><x:Column>259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5" style="position:absolute;margin-left:7533.7pt;margin-top:4124.15pt;width:82.85pt;height:22.8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290</x:Row><x:Column>260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6" style="position:absolute;margin-left:7583.25pt;margin-top:4124.8pt;width:72.9pt;height:23.1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290</x:Row><x:Column>261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7" style="position:absolute;margin-left:316.3pt;margin-top:4164.75pt;width:81.95pt;height:67.8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292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8" style="position:absolute;margin-left:682.6pt;margin-top:4082.15pt;width:98.1pt;height:32.2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292</x:Row><x:Column>17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09" style="position:absolute;margin-left:869.5pt;margin-top:4083.9pt;width:97.85pt;height:37.3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292</x:Row><x:Column>23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0" style="position:absolute;margin-left:5691.4pt;margin-top:4095.15pt;width:80.35pt;height:49.9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292</x:Row><x:Column>196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1" style="position:absolute;margin-left:6559.55pt;margin-top:4128.55pt;width:70pt;height:41.1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292</x:Row><x:Column>227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2" style="position:absolute;margin-left:184.15pt;margin-top:2962.5pt;width:111.6pt;height:35.4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295</x:Row><x:Column>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3" style="position:absolute;margin-left:6729.35pt;margin-top:4095.3pt;width:82.05pt;height:50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295</x:Row><x:Column>233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4" style="position:absolute;margin-left:446.9pt;margin-top:3535.35pt;width:80.45pt;height:20.0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296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5" style="position:absolute;margin-left:382.4pt;margin-top:3913.9pt;width:82.0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297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6" style="position:absolute;margin-left:3607.1pt;margin-top:4034.4pt;width:82.3pt;height:50.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298</x:Row><x:Column>123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7" style="position:absolute;margin-left:382.4pt;margin-top:4043.9pt;width:81.95pt;height:32.4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300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8" style="position:absolute;margin-left:302.95pt;margin-top:4158.2pt;width:72.4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302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19" style="position:absolute;margin-left:21.1pt;margin-top:4020.3pt;width:128.15pt;height:76.7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303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0" style="position:absolute;margin-left:784.65pt;margin-top:4003.8pt;width:82.2pt;height:62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303</x:Row><x:Column>20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1" style="position:absolute;margin-left:898.95pt;margin-top:4099.7pt;width:81.9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24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2" style="position:absolute;margin-left:1430.65pt;margin-top:4035.85pt;width:81.85pt;height:36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3" style="position:absolute;margin-left:2092.6pt;margin-top:3955.7pt;width:105.3pt;height:67.8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303</x:Row><x:Column>66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4" style="position:absolute;margin-left:3348.25pt;margin-top:3918.65pt;width:91.65pt;height:94.6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303</x:Row><x:Column>113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5" style="position:absolute;margin-left:3425.9pt;margin-top:3935.35pt;width:82.1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115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6" style="position:absolute;margin-left:3609.65pt;margin-top:4024.35pt;width:82.35pt;height:50.2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122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7" style="position:absolute;margin-left:3891.65pt;margin-top:3935.35pt;width:82.3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132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8" style="position:absolute;margin-left:3877.05pt;margin-top:3955.3pt;width:82.2pt;height:50.5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133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29" style="position:absolute;margin-left:3949.75pt;margin-top:3935.35pt;width:82.2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134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0" style="position:absolute;margin-left:4312.65pt;margin-top:3935.35pt;width:82.4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148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1" style="position:absolute;margin-left:4839.25pt;margin-top:3935.35pt;width:82.2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168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2" style="position:absolute;margin-left:5009.7pt;margin-top:3935.35pt;width:82.1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174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3" style="position:absolute;margin-left:5299.45pt;margin-top:3935.35pt;width:82.6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184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4" style="position:absolute;margin-left:6077.7pt;margin-top:3935.35pt;width:81.9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211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5" style="position:absolute;margin-left:6423.1pt;margin-top:4046.65pt;width:82.3pt;height:45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226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6" style="position:absolute;margin-left:6589.75pt;margin-top:3935.35pt;width:82.5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229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7" style="position:absolute;margin-left:6617.1pt;margin-top:3935.35pt;width:82.2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230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8" style="position:absolute;margin-left:6604.45pt;margin-top:4050.4pt;width:82.45pt;height:41.8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303</x:Row><x:Column>231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39" style="position:absolute;margin-left:2499.45pt;margin-top:4103.4pt;width:70.2pt;height:23.3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304</x:Row><x:Column>84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0" style="position:absolute;margin-left:2625.8pt;margin-top:4088pt;width:69.9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304</x:Row><x:Column>88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1" style="position:absolute;margin-left:6669.65pt;margin-top:4148.95pt;width:82.25pt;height:27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304</x:Row><x:Column>227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2" style="position:absolute;margin-left:7851.45pt;margin-top:3968.8pt;width:90.2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304</x:Row><x:Column>269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3" style="position:absolute;margin-left:233.3pt;margin-top:4097.3pt;width:82.05pt;height:50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306</x:Row><x:Column>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4" style="position:absolute;margin-left:271.85pt;margin-top:4134.95pt;width:127.2pt;height:66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306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5" style="position:absolute;margin-left:757.75pt;margin-top:4100.85pt;width:101.25pt;height:50.3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306</x:Row><x:Column>19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6" style="position:absolute;margin-left:955.15pt;margin-top:4163.35pt;width:81.95pt;height:50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306</x:Row><x:Column>26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7" style="position:absolute;margin-left:193.8pt;margin-top:3991.4pt;width:83.15pt;height:28.7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307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8" style="position:absolute;margin-left:1128pt;margin-top:4176pt;width:81.8pt;height:4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307</x:Row><x:Column>32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49" style="position:absolute;margin-left:2069.1pt;margin-top:4176pt;width:81.95pt;height:85.7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307</x:Row><x:Column>65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0" style="position:absolute;margin-left:3169.1pt;margin-top:4175.95pt;width:82.15pt;height:103.6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307</x:Row><x:Column>104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1" style="position:absolute;margin-left:5235.55pt;margin-top:4175.95pt;width:82.2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307</x:Row><x:Column>177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2" style="position:absolute;margin-left:5771.8pt;margin-top:4175.8pt;width:82.05pt;height:23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307</x:Row><x:Column>195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3" style="position:absolute;margin-left:5919.9pt;margin-top:4175.95pt;width:81.95pt;height:67.8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307</x:Row><x:Column>200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4" style="position:absolute;margin-left:447.2pt;margin-top:4314.75pt;width:81.8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318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5" style="position:absolute;margin-left:184.4pt;margin-top:4185.65pt;width:91.2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321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6" style="position:absolute;margin-left:336.2pt;margin-top:4185.35pt;width:82.1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321</x:Row><x:Column>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7" style="position:absolute;margin-left:359.3pt;margin-top:4185.3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321</x:Row><x:Column>5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8" style="position:absolute;margin-left:184.4pt;margin-top:4198.4pt;width:98.2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322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59" style="position:absolute;margin-left:382.4pt;margin-top:4198.25pt;width:82.15pt;height:14.6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322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0" style="position:absolute;margin-left:184.4pt;margin-top:4363.55pt;width:83.15pt;height:32.1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326</x:Row><x:Column>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1" style="position:absolute;margin-left:447.2pt;margin-top:4148.35pt;width:82pt;height:14.2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326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2" style="position:absolute;margin-left:323.3pt;margin-top:4268.3pt;width:82.25pt;height:32.4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331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3" style="position:absolute;margin-left:336.2pt;margin-top:4338.95pt;width:82.15pt;height:32.7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333</x:Row><x:Column>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4" style="position:absolute;margin-left:382.4pt;margin-top:4351.7pt;width:82.15pt;height:23.8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334</x:Row><x:Column>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5" style="position:absolute;margin-left:444.55pt;margin-top:3503.35pt;width:69.5pt;height:47.1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336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6" style="position:absolute;margin-left:5206.1pt;margin-top:4286.15pt;width:81.95pt;height:29.45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342</x:Row><x:Column>180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7" style="position:absolute;margin-left:277.95pt;margin-top:4429.15pt;width:90.05pt;height:58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346</x:Row><x:Column>8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8" style="position:absolute;margin-left:614.95pt;margin-top:2811.5pt;width:97.6pt;height:235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350</x:Row><x:Column>12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69" style="position:absolute;margin-left:1151.5pt;margin-top:3209.25pt;width:98.75pt;height:54.4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350</x:Row><x:Column>36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0" style="position:absolute;margin-left:1574.8pt;margin-top:4570.9pt;width:92.4pt;height:55.05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350</x:Row><x:Column>50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1" style="position:absolute;margin-left:2604.15pt;margin-top:4527pt;width:81.95pt;height:23.5pt;visibility:hidden" type="shapetype_75"><w10:wrap w10:type="none"/><v:fill color="#ffffc0" color2="#00003f" detectmouseclick="t" type="solid"/><v:stroke color="black" joinstyle="round" startarrow="block" startarrowlength="medium" startarrowwidth="medium"/><x:ClientData ObjectType="Note"><x:MoveWithCells/><x:SizeWithCells/><x:Anchor>2, 15, 0, 15, 4, 31, 4, 21</x:Anchor><x:AutoFill>False</x:AutoFill><x:Row>350</x:Row><x:Column>84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2" style="position:absolute;margin-left:2624.6pt;margin-top:3189.35pt;width:115.8pt;height:53.3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350</x:Row><x:Column>91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3" style="position:absolute;margin-left:3923.45pt;margin-top:3095.85pt;width:96.25pt;height:45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350</x:Row><x:Column>142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4" style="position:absolute;margin-left:5418.95pt;margin-top:3510.1pt;width:70.6pt;height:46.9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350</x:Row><x:Column>196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5" style="position:absolute;margin-left:5922pt;margin-top:2811.5pt;width:96.2pt;height:235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350</x:Row><x:Column>217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6" style="position:absolute;margin-left:5785.65pt;margin-top:2975.45pt;width:97.3pt;height:61.3pt;visibility:hidden" type="shapetype_75"><w10:wrap w10:type="none"/><v:fill color="#ffffc0" color2="#00003f" detectmouseclick="t" type="solid"/><v:stroke color="black" joinstyle="round" startarrow="block" startarrowlength="medium" startarrowwidth="medium" weight="9360"/><x:ClientData ObjectType="Note"><x:MoveWithCells/><x:SizeWithCells/><x:Anchor>2, 15, 0, 15, 4, 31, 4, 21</x:Anchor><x:AutoFill>False</x:AutoFill><x:Row>350</x:Row><x:Column>220</x:Column></x:ClientData></v:shape><v:shapetype id="shapetype_75" coordsize="21600,21600" o:spt="75" adj="2700" path="m,l21600,l21600,21600l,21600xm@0@0l@0@2l@1@2l@1@0xe"><v:stroke joinstyle="miter"/><v:formulas><v:f eqn="val #0"/><v:f eqn="sum width 0 @0"/><v:f eqn="sum height 0 @0"/></v:formulas><v:path gradientshapeok="t" o:connecttype="rect" textboxrect="@0,@0,@1,@2"/><v:handles><v:h position="@0,0"/></v:handles></v:shapetype><v:shape id="shape_577" style="position:absolute;margin-left:7344.35pt;margin-top:2811.5pt;width:128.15pt;height:235.9pt;visibility:hidden" type="shapetype_75"><w10:wrap w10:type="none"/><v:fill detectmouseclick="t" type="solid"/><v:stroke color="black" joinstyle="miter" startarrow="block" startarrowlength="medium" startarrowwidth="medium" weight="9360"/><x:ClientData ObjectType="Note"><x:MoveWithCells/><x:SizeWithCells/><x:Anchor>2, 15, 0, 15, 4, 31, 4, 21</x:Anchor><x:AutoFill>False</x:AutoFill><x:Row>350</x:Row><x:Column>261</x:Column></x:ClientData></v:shape></xml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5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30.3960784313725"/>
    <col collapsed="false" hidden="true" max="2" min="2" style="1" width="0"/>
    <col collapsed="false" hidden="false" max="3" min="3" style="2" width="7.74117647058824"/>
    <col collapsed="false" hidden="false" max="4" min="4" style="1" width="15.6196078431373"/>
    <col collapsed="false" hidden="false" max="5" min="5" style="1" width="4.19607843137255"/>
    <col collapsed="false" hidden="false" max="8" min="6" style="3" width="4.19607843137255"/>
    <col collapsed="false" hidden="false" max="9" min="9" style="1" width="7.56078431372549"/>
    <col collapsed="false" hidden="false" max="10" min="10" style="1" width="4.97254901960784"/>
    <col collapsed="false" hidden="false" max="11" min="11" style="1" width="5.6"/>
    <col collapsed="false" hidden="false" max="12" min="12" style="1" width="5.46274509803922"/>
    <col collapsed="false" hidden="false" max="13" min="13" style="1" width="5.6"/>
    <col collapsed="false" hidden="false" max="14" min="14" style="1" width="5.46274509803922"/>
    <col collapsed="false" hidden="false" max="15" min="15" style="1" width="5.14509803921569"/>
    <col collapsed="false" hidden="false" max="17" min="16" style="1" width="4.97254901960784"/>
    <col collapsed="false" hidden="false" max="18" min="18" style="3" width="5.11764705882353"/>
    <col collapsed="false" hidden="false" max="19" min="19" style="1" width="4.0078431372549"/>
    <col collapsed="false" hidden="false" max="20" min="20" style="1" width="5.07450980392157"/>
    <col collapsed="false" hidden="false" max="21" min="21" style="1" width="5.26274509803922"/>
    <col collapsed="false" hidden="false" max="22" min="22" style="1" width="5.11764705882353"/>
    <col collapsed="false" hidden="false" max="24" min="23" style="1" width="5.08235294117647"/>
    <col collapsed="false" hidden="false" max="25" min="25" style="1" width="5.09019607843137"/>
    <col collapsed="false" hidden="false" max="26" min="26" style="1" width="4.54901960784314"/>
    <col collapsed="false" hidden="false" max="27" min="27" style="1" width="5.65098039215686"/>
    <col collapsed="false" hidden="false" max="29" min="28" style="1" width="4.97254901960784"/>
    <col collapsed="false" hidden="false" max="30" min="30" style="4" width="4.97254901960784"/>
    <col collapsed="false" hidden="false" max="31" min="31" style="1" width="4.97254901960784"/>
    <col collapsed="false" hidden="false" max="34" min="32" style="1" width="5.74509803921569"/>
    <col collapsed="false" hidden="false" max="37" min="35" style="1" width="4.97254901960784"/>
    <col collapsed="false" hidden="false" max="38" min="38" style="1" width="5.67058823529412"/>
    <col collapsed="false" hidden="false" max="39" min="39" style="1" width="7.05490196078431"/>
    <col collapsed="false" hidden="false" max="42" min="40" style="1" width="4.97254901960784"/>
    <col collapsed="false" hidden="false" max="43" min="43" style="4" width="5.74509803921569"/>
    <col collapsed="false" hidden="false" max="44" min="44" style="4" width="4.97254901960784"/>
    <col collapsed="false" hidden="false" max="49" min="45" style="1" width="4.97254901960784"/>
    <col collapsed="false" hidden="false" max="50" min="50" style="1" width="5.2"/>
    <col collapsed="false" hidden="false" max="54" min="51" style="1" width="4.97254901960784"/>
    <col collapsed="false" hidden="false" max="55" min="55" style="1" width="5.74509803921569"/>
    <col collapsed="false" hidden="false" max="56" min="56" style="1" width="5.67058823529412"/>
    <col collapsed="false" hidden="false" max="63" min="57" style="1" width="4.97254901960784"/>
    <col collapsed="false" hidden="false" max="64" min="64" style="1" width="5.2"/>
    <col collapsed="false" hidden="false" max="65" min="65" style="1" width="5.45490196078431"/>
    <col collapsed="false" hidden="false" max="80" min="66" style="1" width="4.97254901960784"/>
    <col collapsed="false" hidden="false" max="81" min="81" style="1" width="5.52549019607843"/>
    <col collapsed="false" hidden="false" max="83" min="82" style="1" width="4.97254901960784"/>
    <col collapsed="false" hidden="false" max="84" min="84" style="1" width="7.05490196078431"/>
    <col collapsed="false" hidden="false" max="86" min="85" style="1" width="4.97254901960784"/>
    <col collapsed="false" hidden="false" max="87" min="87" style="1" width="5.6"/>
    <col collapsed="false" hidden="false" max="93" min="88" style="1" width="4.97254901960784"/>
    <col collapsed="false" hidden="false" max="94" min="94" style="1" width="5.32549019607843"/>
    <col collapsed="false" hidden="false" max="95" min="95" style="1" width="5.83529411764706"/>
    <col collapsed="false" hidden="false" max="99" min="96" style="1" width="4.97254901960784"/>
    <col collapsed="false" hidden="false" max="100" min="100" style="1" width="6.23137254901961"/>
    <col collapsed="false" hidden="false" max="101" min="101" style="1" width="4.97254901960784"/>
    <col collapsed="false" hidden="false" max="102" min="102" style="5" width="4.97254901960784"/>
    <col collapsed="false" hidden="false" max="105" min="103" style="1" width="4.97254901960784"/>
    <col collapsed="false" hidden="false" max="106" min="106" style="1" width="5.52549019607843"/>
    <col collapsed="false" hidden="false" max="113" min="107" style="1" width="4.97254901960784"/>
    <col collapsed="false" hidden="false" max="114" min="114" style="1" width="5.52549019607843"/>
    <col collapsed="false" hidden="false" max="121" min="115" style="1" width="4.97254901960784"/>
    <col collapsed="false" hidden="false" max="122" min="122" style="4" width="4.97254901960784"/>
    <col collapsed="false" hidden="false" max="123" min="123" style="1" width="4.97254901960784"/>
    <col collapsed="false" hidden="false" max="124" min="124" style="4" width="4.97254901960784"/>
    <col collapsed="false" hidden="false" max="130" min="125" style="1" width="4.97254901960784"/>
    <col collapsed="false" hidden="false" max="131" min="131" style="4" width="4.97254901960784"/>
    <col collapsed="false" hidden="false" max="133" min="132" style="1" width="4.97254901960784"/>
    <col collapsed="false" hidden="false" max="134" min="134" style="1" width="5.58039215686275"/>
    <col collapsed="false" hidden="false" max="140" min="135" style="1" width="4.97254901960784"/>
    <col collapsed="false" hidden="false" max="141" min="141" style="1" width="5.74509803921569"/>
    <col collapsed="false" hidden="false" max="144" min="142" style="1" width="4.97254901960784"/>
    <col collapsed="false" hidden="false" max="145" min="145" style="1" width="4.75686274509804"/>
    <col collapsed="false" hidden="false" max="147" min="146" style="1" width="4.97254901960784"/>
    <col collapsed="false" hidden="false" max="148" min="148" style="1" width="5.65098039215686"/>
    <col collapsed="false" hidden="false" max="149" min="149" style="1" width="4.97254901960784"/>
    <col collapsed="false" hidden="false" max="150" min="150" style="1" width="5.70588235294118"/>
    <col collapsed="false" hidden="false" max="151" min="151" style="1" width="4.97254901960784"/>
    <col collapsed="false" hidden="false" max="152" min="152" style="1" width="6.63921568627451"/>
    <col collapsed="false" hidden="false" max="155" min="153" style="1" width="5.70588235294118"/>
    <col collapsed="false" hidden="false" max="156" min="156" style="1" width="6.63921568627451"/>
    <col collapsed="false" hidden="false" max="158" min="157" style="1" width="4.97254901960784"/>
    <col collapsed="false" hidden="false" max="159" min="159" style="1" width="5.03921568627451"/>
    <col collapsed="false" hidden="false" max="160" min="160" style="1" width="6.17647058823529"/>
    <col collapsed="false" hidden="false" max="170" min="161" style="1" width="4.97254901960784"/>
    <col collapsed="false" hidden="false" max="171" min="171" style="1" width="5.45490196078431"/>
    <col collapsed="false" hidden="false" max="172" min="172" style="1" width="5.46274509803922"/>
    <col collapsed="false" hidden="false" max="173" min="173" style="1" width="5.6"/>
    <col collapsed="false" hidden="false" max="179" min="174" style="1" width="4.97254901960784"/>
    <col collapsed="false" hidden="false" max="180" min="180" style="1" width="6.02352941176471"/>
    <col collapsed="false" hidden="false" max="181" min="181" style="1" width="4.97254901960784"/>
    <col collapsed="false" hidden="false" max="182" min="182" style="1" width="6.77254901960784"/>
    <col collapsed="false" hidden="false" max="183" min="183" style="1" width="4.97254901960784"/>
    <col collapsed="false" hidden="false" max="184" min="184" style="3" width="4.97254901960784"/>
    <col collapsed="false" hidden="false" max="186" min="185" style="2" width="4.97254901960784"/>
    <col collapsed="false" hidden="false" max="189" min="187" style="2" width="5.63529411764706"/>
    <col collapsed="false" hidden="false" max="190" min="190" style="2" width="5.1843137254902"/>
    <col collapsed="false" hidden="false" max="191" min="191" style="1" width="5.63529411764706"/>
    <col collapsed="false" hidden="false" max="192" min="192" style="1" width="6.16078431372549"/>
    <col collapsed="false" hidden="false" max="193" min="193" style="1" width="4.97254901960784"/>
    <col collapsed="false" hidden="false" max="194" min="194" style="1" width="5.6"/>
    <col collapsed="false" hidden="false" max="195" min="195" style="1" width="4.97254901960784"/>
    <col collapsed="false" hidden="false" max="196" min="196" style="1" width="5.31764705882353"/>
    <col collapsed="false" hidden="false" max="197" min="197" style="1" width="5.6"/>
    <col collapsed="false" hidden="false" max="198" min="198" style="1" width="5.58039215686275"/>
    <col collapsed="false" hidden="false" max="199" min="199" style="1" width="5.74509803921569"/>
    <col collapsed="false" hidden="false" max="216" min="200" style="1" width="4.97254901960784"/>
    <col collapsed="false" hidden="false" max="217" min="217" style="3" width="5.1843137254902"/>
    <col collapsed="false" hidden="false" max="218" min="218" style="1" width="6.08627450980392"/>
    <col collapsed="false" hidden="false" max="219" min="219" style="4" width="4.97254901960784"/>
    <col collapsed="false" hidden="false" max="221" min="220" style="1" width="4.97254901960784"/>
    <col collapsed="false" hidden="false" max="222" min="222" style="3" width="5.58039215686275"/>
    <col collapsed="false" hidden="false" max="223" min="223" style="1" width="5.58039215686275"/>
    <col collapsed="false" hidden="false" max="228" min="224" style="1" width="4.97254901960784"/>
    <col collapsed="false" hidden="false" max="229" min="229" style="1" width="5.87843137254902"/>
    <col collapsed="false" hidden="false" max="235" min="230" style="1" width="4.97254901960784"/>
    <col collapsed="false" hidden="false" max="236" min="236" style="1" width="5.3921568627451"/>
    <col collapsed="false" hidden="false" max="250" min="237" style="1" width="4.97254901960784"/>
    <col collapsed="false" hidden="false" max="251" min="251" style="1" width="7.2"/>
    <col collapsed="false" hidden="false" max="263" min="252" style="1" width="4.97254901960784"/>
    <col collapsed="false" hidden="false" max="264" min="264" style="1" width="4.90196078431373"/>
    <col collapsed="false" hidden="false" max="265" min="265" style="0" width="6.43921568627451"/>
    <col collapsed="false" hidden="false" max="1025" min="266" style="0" width="4.97254901960784"/>
  </cols>
  <sheetData>
    <row collapsed="false" customFormat="false" customHeight="true" hidden="false" ht="131.85" outlineLevel="0" r="1">
      <c r="A1" s="6" t="s">
        <v>0</v>
      </c>
      <c r="B1" s="7" t="s">
        <v>1</v>
      </c>
      <c r="C1" s="8" t="s">
        <v>2</v>
      </c>
      <c r="D1" s="6" t="s">
        <v>3</v>
      </c>
      <c r="E1" s="7" t="s">
        <v>4</v>
      </c>
      <c r="F1" s="9" t="s">
        <v>5</v>
      </c>
      <c r="G1" s="9" t="s">
        <v>6</v>
      </c>
      <c r="H1" s="9" t="s">
        <v>7</v>
      </c>
      <c r="I1" s="6" t="s">
        <v>8</v>
      </c>
      <c r="J1" s="7" t="s">
        <v>9</v>
      </c>
      <c r="K1" s="7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1" t="s">
        <v>15</v>
      </c>
      <c r="Q1" s="11" t="s">
        <v>16</v>
      </c>
      <c r="R1" s="12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1" t="s">
        <v>26</v>
      </c>
      <c r="AB1" s="13" t="s">
        <v>27</v>
      </c>
      <c r="AC1" s="13" t="s">
        <v>28</v>
      </c>
      <c r="AD1" s="11" t="s">
        <v>29</v>
      </c>
      <c r="AE1" s="13" t="s">
        <v>30</v>
      </c>
      <c r="AF1" s="14" t="s">
        <v>31</v>
      </c>
      <c r="AG1" s="13" t="s">
        <v>32</v>
      </c>
      <c r="AH1" s="11" t="s">
        <v>33</v>
      </c>
      <c r="AI1" s="11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1" t="s">
        <v>42</v>
      </c>
      <c r="AR1" s="11" t="s">
        <v>43</v>
      </c>
      <c r="AS1" s="10" t="s">
        <v>44</v>
      </c>
      <c r="AT1" s="7" t="s">
        <v>45</v>
      </c>
      <c r="AU1" s="7" t="s">
        <v>46</v>
      </c>
      <c r="AV1" s="13" t="s">
        <v>47</v>
      </c>
      <c r="AW1" s="13" t="s">
        <v>48</v>
      </c>
      <c r="AX1" s="13" t="s">
        <v>49</v>
      </c>
      <c r="AY1" s="11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3" t="s">
        <v>59</v>
      </c>
      <c r="BI1" s="13" t="s">
        <v>60</v>
      </c>
      <c r="BJ1" s="13" t="s">
        <v>61</v>
      </c>
      <c r="BK1" s="13" t="s">
        <v>62</v>
      </c>
      <c r="BL1" s="13" t="s">
        <v>63</v>
      </c>
      <c r="BM1" s="13" t="s">
        <v>64</v>
      </c>
      <c r="BN1" s="7" t="s">
        <v>65</v>
      </c>
      <c r="BO1" s="13" t="s">
        <v>66</v>
      </c>
      <c r="BP1" s="7" t="s">
        <v>67</v>
      </c>
      <c r="BQ1" s="13" t="s">
        <v>68</v>
      </c>
      <c r="BR1" s="13" t="s">
        <v>69</v>
      </c>
      <c r="BS1" s="13" t="s">
        <v>70</v>
      </c>
      <c r="BT1" s="13" t="s">
        <v>71</v>
      </c>
      <c r="BU1" s="13" t="s">
        <v>72</v>
      </c>
      <c r="BV1" s="13" t="s">
        <v>73</v>
      </c>
      <c r="BW1" s="13" t="s">
        <v>74</v>
      </c>
      <c r="BX1" s="13" t="s">
        <v>75</v>
      </c>
      <c r="BY1" s="13" t="s">
        <v>76</v>
      </c>
      <c r="BZ1" s="15" t="s">
        <v>77</v>
      </c>
      <c r="CA1" s="15" t="s">
        <v>78</v>
      </c>
      <c r="CB1" s="13" t="s">
        <v>79</v>
      </c>
      <c r="CC1" s="13" t="s">
        <v>80</v>
      </c>
      <c r="CD1" s="13" t="s">
        <v>81</v>
      </c>
      <c r="CE1" s="13" t="s">
        <v>82</v>
      </c>
      <c r="CF1" s="13" t="s">
        <v>83</v>
      </c>
      <c r="CG1" s="13" t="s">
        <v>84</v>
      </c>
      <c r="CH1" s="13" t="s">
        <v>85</v>
      </c>
      <c r="CI1" s="13" t="s">
        <v>86</v>
      </c>
      <c r="CJ1" s="11" t="s">
        <v>87</v>
      </c>
      <c r="CK1" s="11" t="s">
        <v>88</v>
      </c>
      <c r="CL1" s="11" t="s">
        <v>89</v>
      </c>
      <c r="CM1" s="11" t="s">
        <v>90</v>
      </c>
      <c r="CN1" s="11" t="s">
        <v>91</v>
      </c>
      <c r="CO1" s="11" t="s">
        <v>92</v>
      </c>
      <c r="CP1" s="14" t="s">
        <v>93</v>
      </c>
      <c r="CQ1" s="11" t="s">
        <v>94</v>
      </c>
      <c r="CR1" s="13" t="s">
        <v>95</v>
      </c>
      <c r="CS1" s="13" t="s">
        <v>96</v>
      </c>
      <c r="CT1" s="13" t="s">
        <v>97</v>
      </c>
      <c r="CU1" s="13" t="s">
        <v>98</v>
      </c>
      <c r="CV1" s="7" t="s">
        <v>99</v>
      </c>
      <c r="CW1" s="13" t="s">
        <v>100</v>
      </c>
      <c r="CX1" s="16" t="s">
        <v>101</v>
      </c>
      <c r="CY1" s="13" t="s">
        <v>102</v>
      </c>
      <c r="CZ1" s="13" t="s">
        <v>103</v>
      </c>
      <c r="DA1" s="13" t="s">
        <v>104</v>
      </c>
      <c r="DB1" s="13" t="s">
        <v>105</v>
      </c>
      <c r="DC1" s="7" t="s">
        <v>106</v>
      </c>
      <c r="DD1" s="13" t="s">
        <v>107</v>
      </c>
      <c r="DE1" s="13" t="s">
        <v>108</v>
      </c>
      <c r="DF1" s="13" t="s">
        <v>109</v>
      </c>
      <c r="DG1" s="13" t="s">
        <v>110</v>
      </c>
      <c r="DH1" s="13" t="s">
        <v>111</v>
      </c>
      <c r="DI1" s="13" t="s">
        <v>112</v>
      </c>
      <c r="DJ1" s="13" t="s">
        <v>113</v>
      </c>
      <c r="DK1" s="13" t="s">
        <v>114</v>
      </c>
      <c r="DL1" s="13" t="s">
        <v>115</v>
      </c>
      <c r="DM1" s="13" t="s">
        <v>116</v>
      </c>
      <c r="DN1" s="13" t="s">
        <v>117</v>
      </c>
      <c r="DO1" s="13" t="s">
        <v>118</v>
      </c>
      <c r="DP1" s="7" t="s">
        <v>119</v>
      </c>
      <c r="DQ1" s="7" t="s">
        <v>120</v>
      </c>
      <c r="DR1" s="17" t="s">
        <v>121</v>
      </c>
      <c r="DS1" s="7" t="s">
        <v>122</v>
      </c>
      <c r="DT1" s="17" t="s">
        <v>123</v>
      </c>
      <c r="DU1" s="7" t="s">
        <v>124</v>
      </c>
      <c r="DV1" s="7" t="s">
        <v>125</v>
      </c>
      <c r="DW1" s="7" t="s">
        <v>126</v>
      </c>
      <c r="DX1" s="7" t="s">
        <v>127</v>
      </c>
      <c r="DY1" s="7" t="s">
        <v>128</v>
      </c>
      <c r="DZ1" s="7" t="s">
        <v>129</v>
      </c>
      <c r="EA1" s="17" t="s">
        <v>130</v>
      </c>
      <c r="EB1" s="7" t="s">
        <v>131</v>
      </c>
      <c r="EC1" s="7" t="s">
        <v>132</v>
      </c>
      <c r="ED1" s="7" t="s">
        <v>133</v>
      </c>
      <c r="EE1" s="7" t="s">
        <v>134</v>
      </c>
      <c r="EF1" s="7" t="s">
        <v>135</v>
      </c>
      <c r="EG1" s="7" t="s">
        <v>136</v>
      </c>
      <c r="EH1" s="7" t="s">
        <v>137</v>
      </c>
      <c r="EI1" s="7" t="s">
        <v>138</v>
      </c>
      <c r="EJ1" s="7" t="s">
        <v>139</v>
      </c>
      <c r="EK1" s="18" t="s">
        <v>140</v>
      </c>
      <c r="EL1" s="7" t="s">
        <v>141</v>
      </c>
      <c r="EM1" s="7" t="s">
        <v>142</v>
      </c>
      <c r="EN1" s="7" t="s">
        <v>143</v>
      </c>
      <c r="EO1" s="7" t="s">
        <v>144</v>
      </c>
      <c r="EP1" s="7" t="s">
        <v>145</v>
      </c>
      <c r="EQ1" s="7" t="s">
        <v>146</v>
      </c>
      <c r="ER1" s="13" t="s">
        <v>147</v>
      </c>
      <c r="ES1" s="7" t="s">
        <v>148</v>
      </c>
      <c r="ET1" s="7" t="s">
        <v>149</v>
      </c>
      <c r="EU1" s="7" t="s">
        <v>150</v>
      </c>
      <c r="EV1" s="7" t="s">
        <v>151</v>
      </c>
      <c r="EW1" s="7" t="s">
        <v>152</v>
      </c>
      <c r="EX1" s="7" t="s">
        <v>153</v>
      </c>
      <c r="EY1" s="7" t="s">
        <v>154</v>
      </c>
      <c r="EZ1" s="7" t="s">
        <v>155</v>
      </c>
      <c r="FA1" s="7" t="s">
        <v>156</v>
      </c>
      <c r="FB1" s="7" t="s">
        <v>157</v>
      </c>
      <c r="FC1" s="7" t="s">
        <v>158</v>
      </c>
      <c r="FD1" s="7" t="s">
        <v>159</v>
      </c>
      <c r="FE1" s="17" t="s">
        <v>160</v>
      </c>
      <c r="FF1" s="7" t="s">
        <v>161</v>
      </c>
      <c r="FG1" s="7" t="s">
        <v>162</v>
      </c>
      <c r="FH1" s="7" t="s">
        <v>163</v>
      </c>
      <c r="FI1" s="7" t="s">
        <v>164</v>
      </c>
      <c r="FJ1" s="7" t="s">
        <v>165</v>
      </c>
      <c r="FK1" s="7" t="s">
        <v>166</v>
      </c>
      <c r="FL1" s="7" t="s">
        <v>167</v>
      </c>
      <c r="FM1" s="7" t="s">
        <v>168</v>
      </c>
      <c r="FN1" s="7" t="s">
        <v>169</v>
      </c>
      <c r="FO1" s="7" t="s">
        <v>170</v>
      </c>
      <c r="FP1" s="7" t="s">
        <v>171</v>
      </c>
      <c r="FQ1" s="7" t="s">
        <v>172</v>
      </c>
      <c r="FR1" s="7" t="s">
        <v>173</v>
      </c>
      <c r="FS1" s="7" t="s">
        <v>174</v>
      </c>
      <c r="FT1" s="7" t="s">
        <v>175</v>
      </c>
      <c r="FU1" s="7" t="s">
        <v>176</v>
      </c>
      <c r="FV1" s="11" t="s">
        <v>177</v>
      </c>
      <c r="FW1" s="11" t="s">
        <v>178</v>
      </c>
      <c r="FX1" s="13" t="s">
        <v>179</v>
      </c>
      <c r="FY1" s="7" t="s">
        <v>180</v>
      </c>
      <c r="FZ1" s="7" t="s">
        <v>181</v>
      </c>
      <c r="GA1" s="7" t="s">
        <v>182</v>
      </c>
      <c r="GB1" s="19" t="s">
        <v>183</v>
      </c>
      <c r="GC1" s="20" t="s">
        <v>184</v>
      </c>
      <c r="GD1" s="20" t="s">
        <v>185</v>
      </c>
      <c r="GE1" s="20" t="s">
        <v>186</v>
      </c>
      <c r="GF1" s="20" t="s">
        <v>187</v>
      </c>
      <c r="GG1" s="21" t="s">
        <v>188</v>
      </c>
      <c r="GH1" s="21" t="s">
        <v>189</v>
      </c>
      <c r="GI1" s="7" t="s">
        <v>190</v>
      </c>
      <c r="GJ1" s="7" t="s">
        <v>191</v>
      </c>
      <c r="GK1" s="7" t="s">
        <v>192</v>
      </c>
      <c r="GL1" s="7" t="s">
        <v>193</v>
      </c>
      <c r="GM1" s="7" t="s">
        <v>194</v>
      </c>
      <c r="GN1" s="7" t="s">
        <v>195</v>
      </c>
      <c r="GO1" s="22" t="s">
        <v>196</v>
      </c>
      <c r="GP1" s="22" t="s">
        <v>197</v>
      </c>
      <c r="GQ1" s="7" t="s">
        <v>198</v>
      </c>
      <c r="GR1" s="7" t="s">
        <v>199</v>
      </c>
      <c r="GS1" s="22" t="s">
        <v>200</v>
      </c>
      <c r="GT1" s="7" t="s">
        <v>201</v>
      </c>
      <c r="GU1" s="7" t="s">
        <v>202</v>
      </c>
      <c r="GV1" s="7" t="s">
        <v>203</v>
      </c>
      <c r="GW1" s="7" t="s">
        <v>204</v>
      </c>
      <c r="GX1" s="7" t="s">
        <v>205</v>
      </c>
      <c r="GY1" s="7" t="s">
        <v>206</v>
      </c>
      <c r="GZ1" s="7" t="s">
        <v>207</v>
      </c>
      <c r="HA1" s="7" t="s">
        <v>208</v>
      </c>
      <c r="HB1" s="7" t="s">
        <v>209</v>
      </c>
      <c r="HC1" s="7" t="s">
        <v>210</v>
      </c>
      <c r="HD1" s="7" t="s">
        <v>211</v>
      </c>
      <c r="HE1" s="7" t="s">
        <v>212</v>
      </c>
      <c r="HF1" s="7" t="s">
        <v>213</v>
      </c>
      <c r="HG1" s="7" t="s">
        <v>214</v>
      </c>
      <c r="HH1" s="7" t="s">
        <v>215</v>
      </c>
      <c r="HI1" s="9" t="s">
        <v>216</v>
      </c>
      <c r="HJ1" s="7" t="s">
        <v>217</v>
      </c>
      <c r="HK1" s="17" t="s">
        <v>218</v>
      </c>
      <c r="HL1" s="7" t="s">
        <v>219</v>
      </c>
      <c r="HM1" s="7" t="s">
        <v>220</v>
      </c>
      <c r="HN1" s="9" t="s">
        <v>221</v>
      </c>
      <c r="HO1" s="7" t="s">
        <v>222</v>
      </c>
      <c r="HP1" s="7" t="s">
        <v>223</v>
      </c>
      <c r="HQ1" s="7" t="s">
        <v>224</v>
      </c>
      <c r="HR1" s="7" t="s">
        <v>225</v>
      </c>
      <c r="HS1" s="7" t="s">
        <v>226</v>
      </c>
      <c r="HT1" s="7" t="s">
        <v>227</v>
      </c>
      <c r="HU1" s="7" t="s">
        <v>228</v>
      </c>
      <c r="HV1" s="7" t="s">
        <v>229</v>
      </c>
      <c r="HW1" s="7" t="s">
        <v>230</v>
      </c>
      <c r="HX1" s="7" t="s">
        <v>231</v>
      </c>
      <c r="HY1" s="7" t="s">
        <v>232</v>
      </c>
      <c r="HZ1" s="7" t="s">
        <v>233</v>
      </c>
      <c r="IA1" s="7" t="s">
        <v>234</v>
      </c>
      <c r="IB1" s="23" t="s">
        <v>235</v>
      </c>
      <c r="IC1" s="24" t="s">
        <v>236</v>
      </c>
      <c r="ID1" s="23" t="s">
        <v>237</v>
      </c>
      <c r="IE1" s="23" t="s">
        <v>238</v>
      </c>
      <c r="IF1" s="23" t="s">
        <v>239</v>
      </c>
      <c r="IG1" s="23" t="s">
        <v>240</v>
      </c>
      <c r="IH1" s="23" t="s">
        <v>241</v>
      </c>
      <c r="II1" s="23" t="s">
        <v>242</v>
      </c>
      <c r="IJ1" s="23" t="s">
        <v>243</v>
      </c>
      <c r="IK1" s="23" t="s">
        <v>244</v>
      </c>
      <c r="IL1" s="23" t="s">
        <v>245</v>
      </c>
      <c r="IM1" s="23" t="s">
        <v>246</v>
      </c>
      <c r="IN1" s="23" t="s">
        <v>247</v>
      </c>
      <c r="IO1" s="23" t="s">
        <v>248</v>
      </c>
      <c r="IP1" s="23" t="s">
        <v>249</v>
      </c>
      <c r="IQ1" s="23" t="s">
        <v>250</v>
      </c>
      <c r="IR1" s="24" t="s">
        <v>251</v>
      </c>
      <c r="IS1" s="23" t="s">
        <v>252</v>
      </c>
      <c r="IT1" s="23" t="s">
        <v>253</v>
      </c>
      <c r="IU1" s="23" t="s">
        <v>254</v>
      </c>
      <c r="IV1" s="23" t="s">
        <v>255</v>
      </c>
      <c r="IW1" s="23" t="s">
        <v>256</v>
      </c>
      <c r="IX1" s="23" t="s">
        <v>257</v>
      </c>
      <c r="IY1" s="23" t="s">
        <v>258</v>
      </c>
      <c r="IZ1" s="23" t="s">
        <v>259</v>
      </c>
      <c r="JA1" s="23" t="s">
        <v>260</v>
      </c>
      <c r="JB1" s="23" t="s">
        <v>261</v>
      </c>
      <c r="JC1" s="23" t="s">
        <v>262</v>
      </c>
      <c r="JD1" s="23" t="s">
        <v>263</v>
      </c>
      <c r="JE1" s="7" t="s">
        <v>264</v>
      </c>
      <c r="JF1" s="7" t="s">
        <v>265</v>
      </c>
      <c r="JG1" s="7" t="s">
        <v>266</v>
      </c>
      <c r="JH1" s="7" t="s">
        <v>267</v>
      </c>
      <c r="JI1" s="7" t="s">
        <v>268</v>
      </c>
      <c r="JJ1" s="7" t="s">
        <v>269</v>
      </c>
      <c r="JK1" s="7" t="s">
        <v>270</v>
      </c>
      <c r="JL1" s="7" t="s">
        <v>271</v>
      </c>
    </row>
    <row collapsed="false" customFormat="false" customHeight="true" hidden="false" ht="12.75" outlineLevel="0" r="2">
      <c r="A2" s="1" t="s">
        <v>272</v>
      </c>
      <c r="C2" s="25" t="n">
        <v>939</v>
      </c>
      <c r="D2" s="1" t="s">
        <v>273</v>
      </c>
      <c r="F2" s="26" t="n">
        <f aca="false">2</f>
        <v>2</v>
      </c>
      <c r="G2" s="26" t="n">
        <f aca="false">2</f>
        <v>2</v>
      </c>
      <c r="H2" s="26" t="n">
        <v>0</v>
      </c>
      <c r="I2" s="27" t="n">
        <f aca="false">SUM(F2:H2)/3</f>
        <v>1.33333333333333</v>
      </c>
      <c r="J2" s="1" t="n">
        <f aca="false">75*$I2</f>
        <v>100</v>
      </c>
      <c r="AU2" s="28"/>
      <c r="GC2" s="1"/>
      <c r="GD2" s="1"/>
      <c r="GE2" s="1"/>
      <c r="GF2" s="1"/>
      <c r="GG2" s="1"/>
      <c r="GH2" s="1"/>
    </row>
    <row collapsed="false" customFormat="true" customHeight="true" hidden="false" ht="12.75" outlineLevel="0" r="3" s="4">
      <c r="A3" s="29" t="s">
        <v>274</v>
      </c>
      <c r="B3" s="29"/>
      <c r="C3" s="30" t="n">
        <v>25052</v>
      </c>
      <c r="D3" s="29" t="s">
        <v>275</v>
      </c>
      <c r="E3" s="29"/>
      <c r="F3" s="31" t="n">
        <v>0</v>
      </c>
      <c r="G3" s="31" t="n">
        <f aca="false">(1.2*12/4)*2</f>
        <v>7.2</v>
      </c>
      <c r="H3" s="31" t="n">
        <v>0</v>
      </c>
      <c r="I3" s="32" t="n">
        <f aca="false">SUM(F3:H3)/3</f>
        <v>2.4</v>
      </c>
      <c r="J3" s="1"/>
      <c r="K3" s="33" t="n">
        <f aca="false">1000*I3</f>
        <v>2400</v>
      </c>
      <c r="R3" s="34"/>
      <c r="CX3" s="35"/>
      <c r="GB3" s="34"/>
      <c r="GJ3" s="1"/>
      <c r="HI3" s="34"/>
      <c r="HN3" s="34"/>
      <c r="AMI3" s="0"/>
      <c r="AMJ3" s="0"/>
    </row>
    <row collapsed="false" customFormat="false" customHeight="true" hidden="false" ht="12.75" outlineLevel="0" r="4">
      <c r="A4" s="36" t="s">
        <v>274</v>
      </c>
      <c r="B4" s="36"/>
      <c r="C4" s="37" t="n">
        <v>25052</v>
      </c>
      <c r="D4" s="36" t="s">
        <v>275</v>
      </c>
      <c r="E4" s="36"/>
      <c r="F4" s="38" t="n">
        <v>0</v>
      </c>
      <c r="G4" s="38" t="n">
        <f aca="false">(0.8*12/4)*2</f>
        <v>4.8</v>
      </c>
      <c r="H4" s="38" t="n">
        <v>0</v>
      </c>
      <c r="I4" s="39" t="n">
        <f aca="false">SUM(F4:H4)/3</f>
        <v>1.6</v>
      </c>
      <c r="K4" s="40" t="n">
        <f aca="false">1000*I4</f>
        <v>1600</v>
      </c>
      <c r="GC4" s="1"/>
      <c r="GD4" s="1"/>
      <c r="GE4" s="1"/>
      <c r="GF4" s="1"/>
      <c r="GG4" s="1"/>
      <c r="GH4" s="1"/>
    </row>
    <row collapsed="false" customFormat="true" customHeight="true" hidden="false" ht="12.75" outlineLevel="0" r="5" s="45">
      <c r="A5" s="41" t="s">
        <v>276</v>
      </c>
      <c r="B5" s="41"/>
      <c r="C5" s="42" t="n">
        <v>916</v>
      </c>
      <c r="D5" s="41" t="s">
        <v>277</v>
      </c>
      <c r="E5" s="41"/>
      <c r="F5" s="43" t="n">
        <v>0</v>
      </c>
      <c r="G5" s="43" t="n">
        <v>2</v>
      </c>
      <c r="H5" s="43" t="n">
        <v>0</v>
      </c>
      <c r="I5" s="44" t="n">
        <f aca="false">SUM(F5:H5)/3</f>
        <v>0.666666666666667</v>
      </c>
      <c r="L5" s="46"/>
      <c r="M5" s="46"/>
      <c r="N5" s="46"/>
      <c r="O5" s="46"/>
      <c r="P5" s="47"/>
      <c r="Q5" s="47"/>
      <c r="R5" s="48"/>
      <c r="S5" s="49"/>
      <c r="T5" s="49"/>
      <c r="U5" s="49"/>
      <c r="V5" s="50" t="n">
        <f aca="false">174/(203+174+2*36.5)*800/2*$I5</f>
        <v>103.111111111111</v>
      </c>
      <c r="W5" s="49"/>
      <c r="X5" s="49"/>
      <c r="Y5" s="49"/>
      <c r="Z5" s="49"/>
      <c r="AA5" s="47"/>
      <c r="AB5" s="49"/>
      <c r="AC5" s="49"/>
      <c r="AD5" s="47"/>
      <c r="AE5" s="49"/>
      <c r="AF5" s="49"/>
      <c r="AG5" s="49"/>
      <c r="AH5" s="47"/>
      <c r="AI5" s="47"/>
      <c r="AJ5" s="49"/>
      <c r="AK5" s="49"/>
      <c r="AL5" s="49"/>
      <c r="AM5" s="49"/>
      <c r="AN5" s="49"/>
      <c r="AO5" s="49"/>
      <c r="AP5" s="49"/>
      <c r="AQ5" s="47"/>
      <c r="AR5" s="47"/>
      <c r="AS5" s="50" t="n">
        <f aca="false">203/(203+36.5)*800/2*$I5</f>
        <v>226.026443980515</v>
      </c>
      <c r="AT5" s="50" t="n">
        <f aca="false">203/(203+174+2*36.5)*800/2*$I5</f>
        <v>120.296296296296</v>
      </c>
      <c r="AU5" s="50"/>
      <c r="AV5" s="51" t="n">
        <f aca="false">(58+161)/(75+58+161+36.5)*300/2*$I5</f>
        <v>66.2632375189107</v>
      </c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O5" s="49"/>
      <c r="BQ5" s="49"/>
      <c r="BR5" s="49"/>
      <c r="BS5" s="49"/>
      <c r="BT5" s="49"/>
      <c r="BU5" s="49"/>
      <c r="BV5" s="49"/>
      <c r="BW5" s="49"/>
      <c r="BX5" s="49"/>
      <c r="BY5" s="49"/>
      <c r="BZ5" s="52"/>
      <c r="CA5" s="52"/>
      <c r="CB5" s="49"/>
      <c r="CC5" s="49"/>
      <c r="CD5" s="49"/>
      <c r="CE5" s="49"/>
      <c r="CF5" s="49"/>
      <c r="CG5" s="49"/>
      <c r="CH5" s="49"/>
      <c r="CI5" s="49"/>
      <c r="CJ5" s="47"/>
      <c r="CK5" s="47"/>
      <c r="CL5" s="47"/>
      <c r="CM5" s="47"/>
      <c r="CN5" s="47"/>
      <c r="CO5" s="47"/>
      <c r="CP5" s="47"/>
      <c r="CQ5" s="47"/>
      <c r="CR5" s="49"/>
      <c r="CS5" s="49"/>
      <c r="CT5" s="49"/>
      <c r="CU5" s="49"/>
      <c r="CW5" s="49"/>
      <c r="CX5" s="53"/>
      <c r="CY5" s="49"/>
      <c r="CZ5" s="49"/>
      <c r="DA5" s="49"/>
      <c r="DB5" s="49"/>
      <c r="DD5" s="49"/>
      <c r="DE5" s="49"/>
      <c r="DF5" s="49"/>
      <c r="DG5" s="49"/>
      <c r="DH5" s="49"/>
      <c r="DI5" s="49"/>
      <c r="DJ5" s="49"/>
      <c r="DK5" s="49"/>
      <c r="DL5" s="54" t="n">
        <f aca="false">75/(75+58+161+36.5)*500*$I5</f>
        <v>75.642965204236</v>
      </c>
      <c r="DM5" s="55" t="n">
        <f aca="false">300/2*I5</f>
        <v>100</v>
      </c>
      <c r="DN5" s="49"/>
      <c r="DO5" s="49"/>
      <c r="DR5" s="56"/>
      <c r="DT5" s="56"/>
      <c r="EA5" s="56"/>
      <c r="ER5" s="49"/>
      <c r="FD5" s="57"/>
      <c r="FE5" s="57"/>
      <c r="FV5" s="49"/>
      <c r="FW5" s="49"/>
      <c r="FX5" s="49"/>
      <c r="GB5" s="58"/>
      <c r="GC5" s="59"/>
      <c r="GD5" s="59"/>
      <c r="GE5" s="59"/>
      <c r="GF5" s="59"/>
      <c r="GG5" s="59"/>
      <c r="GH5" s="59"/>
      <c r="GO5" s="60"/>
      <c r="GP5" s="60"/>
      <c r="GS5" s="60"/>
      <c r="HI5" s="61"/>
      <c r="HK5" s="56"/>
      <c r="HN5" s="61"/>
      <c r="HP5" s="62"/>
      <c r="IB5" s="56"/>
      <c r="IC5" s="47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47"/>
      <c r="IS5" s="56"/>
      <c r="IT5" s="56"/>
      <c r="IU5" s="56"/>
      <c r="IV5" s="56"/>
      <c r="IW5" s="56"/>
      <c r="IX5" s="56"/>
      <c r="IY5" s="56"/>
      <c r="IZ5" s="56"/>
      <c r="JA5" s="56"/>
      <c r="JB5" s="56"/>
      <c r="AMI5" s="0"/>
      <c r="AMJ5" s="0"/>
    </row>
    <row collapsed="false" customFormat="true" customHeight="true" hidden="false" ht="12.75" outlineLevel="0" r="6" s="56">
      <c r="A6" s="63" t="s">
        <v>278</v>
      </c>
      <c r="B6" s="63"/>
      <c r="C6" s="64" t="n">
        <v>1417</v>
      </c>
      <c r="D6" s="63" t="s">
        <v>279</v>
      </c>
      <c r="E6" s="63"/>
      <c r="F6" s="65" t="n">
        <v>0</v>
      </c>
      <c r="G6" s="65" t="n">
        <f aca="false">7.2*2</f>
        <v>14.4</v>
      </c>
      <c r="H6" s="65" t="n">
        <v>0</v>
      </c>
      <c r="I6" s="66" t="n">
        <f aca="false">SUM(F6:H6)/3</f>
        <v>4.8</v>
      </c>
      <c r="L6" s="67"/>
      <c r="M6" s="67"/>
      <c r="N6" s="67"/>
      <c r="O6" s="67"/>
      <c r="P6" s="47"/>
      <c r="Q6" s="47"/>
      <c r="R6" s="58"/>
      <c r="S6" s="47"/>
      <c r="T6" s="47"/>
      <c r="U6" s="47"/>
      <c r="V6" s="68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68"/>
      <c r="AT6" s="68"/>
      <c r="AU6" s="68"/>
      <c r="AV6" s="4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O6" s="47"/>
      <c r="BQ6" s="47"/>
      <c r="BR6" s="47"/>
      <c r="BS6" s="47"/>
      <c r="BT6" s="47"/>
      <c r="BU6" s="47"/>
      <c r="BV6" s="47"/>
      <c r="BW6" s="47"/>
      <c r="BX6" s="47"/>
      <c r="BY6" s="47"/>
      <c r="BZ6" s="69"/>
      <c r="CA6" s="69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W6" s="47"/>
      <c r="CX6" s="70"/>
      <c r="CY6" s="47"/>
      <c r="CZ6" s="47"/>
      <c r="DA6" s="47"/>
      <c r="DB6" s="47"/>
      <c r="DD6" s="47"/>
      <c r="DE6" s="47"/>
      <c r="DF6" s="47"/>
      <c r="DG6" s="47"/>
      <c r="DH6" s="47"/>
      <c r="DI6" s="47"/>
      <c r="DJ6" s="47"/>
      <c r="DK6" s="47"/>
      <c r="DL6" s="71"/>
      <c r="DM6" s="70"/>
      <c r="DN6" s="47"/>
      <c r="DO6" s="47"/>
      <c r="ER6" s="47"/>
      <c r="FD6" s="72"/>
      <c r="FE6" s="72"/>
      <c r="FV6" s="47"/>
      <c r="FW6" s="47"/>
      <c r="FX6" s="47"/>
      <c r="GB6" s="58"/>
      <c r="GC6" s="73"/>
      <c r="GD6" s="73"/>
      <c r="GE6" s="73"/>
      <c r="GF6" s="73"/>
      <c r="GG6" s="73"/>
      <c r="GH6" s="73"/>
      <c r="GJ6" s="45"/>
      <c r="HI6" s="58"/>
      <c r="HN6" s="58"/>
      <c r="HP6" s="74"/>
      <c r="IC6" s="47"/>
      <c r="IR6" s="47"/>
      <c r="AMI6" s="0"/>
      <c r="AMJ6" s="0"/>
    </row>
    <row collapsed="false" customFormat="true" customHeight="true" hidden="false" ht="12.75" outlineLevel="0" r="7" s="56">
      <c r="A7" s="75" t="s">
        <v>278</v>
      </c>
      <c r="B7" s="75"/>
      <c r="C7" s="76" t="n">
        <v>1417</v>
      </c>
      <c r="D7" s="75" t="s">
        <v>279</v>
      </c>
      <c r="E7" s="75"/>
      <c r="F7" s="77" t="n">
        <v>0</v>
      </c>
      <c r="G7" s="77" t="n">
        <f aca="false">4.8*2</f>
        <v>9.6</v>
      </c>
      <c r="H7" s="77" t="n">
        <v>0</v>
      </c>
      <c r="I7" s="78" t="n">
        <f aca="false">SUM(F7:H7)/3</f>
        <v>3.2</v>
      </c>
      <c r="L7" s="67"/>
      <c r="M7" s="67"/>
      <c r="N7" s="67"/>
      <c r="O7" s="67"/>
      <c r="P7" s="47"/>
      <c r="Q7" s="47"/>
      <c r="R7" s="58"/>
      <c r="S7" s="47"/>
      <c r="T7" s="47"/>
      <c r="U7" s="47"/>
      <c r="V7" s="68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68"/>
      <c r="AT7" s="68"/>
      <c r="AU7" s="68"/>
      <c r="AV7" s="4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O7" s="47"/>
      <c r="BQ7" s="47"/>
      <c r="BR7" s="47"/>
      <c r="BS7" s="47"/>
      <c r="BT7" s="47"/>
      <c r="BU7" s="47"/>
      <c r="BV7" s="47"/>
      <c r="BW7" s="47"/>
      <c r="BX7" s="47"/>
      <c r="BY7" s="47"/>
      <c r="BZ7" s="69"/>
      <c r="CA7" s="69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W7" s="47"/>
      <c r="CX7" s="70"/>
      <c r="CY7" s="47"/>
      <c r="CZ7" s="47"/>
      <c r="DA7" s="47"/>
      <c r="DB7" s="47"/>
      <c r="DD7" s="47"/>
      <c r="DE7" s="47"/>
      <c r="DF7" s="47"/>
      <c r="DG7" s="47"/>
      <c r="DH7" s="47"/>
      <c r="DI7" s="47"/>
      <c r="DJ7" s="47"/>
      <c r="DK7" s="47"/>
      <c r="DL7" s="71"/>
      <c r="DM7" s="70"/>
      <c r="DN7" s="47"/>
      <c r="DO7" s="47"/>
      <c r="ER7" s="47"/>
      <c r="FD7" s="72"/>
      <c r="FE7" s="72"/>
      <c r="FV7" s="47"/>
      <c r="FW7" s="47"/>
      <c r="FX7" s="47"/>
      <c r="GB7" s="58"/>
      <c r="GC7" s="73"/>
      <c r="GD7" s="73"/>
      <c r="GE7" s="73"/>
      <c r="GF7" s="73"/>
      <c r="GG7" s="73"/>
      <c r="GH7" s="73"/>
      <c r="GJ7" s="45"/>
      <c r="HI7" s="58"/>
      <c r="HN7" s="58"/>
      <c r="HP7" s="74"/>
      <c r="IC7" s="47"/>
      <c r="IR7" s="47"/>
      <c r="AMI7" s="0"/>
      <c r="AMJ7" s="0"/>
    </row>
    <row collapsed="false" customFormat="true" customHeight="true" hidden="false" ht="12.75" outlineLevel="0" r="8" s="62">
      <c r="A8" s="79" t="s">
        <v>280</v>
      </c>
      <c r="B8" s="79"/>
      <c r="C8" s="80" t="n">
        <v>681</v>
      </c>
      <c r="D8" s="79" t="s">
        <v>281</v>
      </c>
      <c r="E8" s="79"/>
      <c r="F8" s="81" t="n">
        <v>2</v>
      </c>
      <c r="G8" s="81" t="n">
        <v>2</v>
      </c>
      <c r="H8" s="81" t="n">
        <v>0</v>
      </c>
      <c r="I8" s="82" t="n">
        <f aca="false">SUM(F8:H8)/3</f>
        <v>1.33333333333333</v>
      </c>
      <c r="L8" s="83"/>
      <c r="M8" s="84" t="n">
        <f aca="false">1000/2*$I8</f>
        <v>666.666666666667</v>
      </c>
      <c r="N8" s="85"/>
      <c r="O8" s="85"/>
      <c r="P8" s="86"/>
      <c r="Q8" s="86"/>
      <c r="R8" s="70"/>
      <c r="S8" s="86"/>
      <c r="T8" s="86"/>
      <c r="U8" s="86"/>
      <c r="V8" s="86"/>
      <c r="W8" s="86"/>
      <c r="X8" s="86"/>
      <c r="Y8" s="87"/>
      <c r="Z8" s="87"/>
      <c r="AA8" s="87"/>
      <c r="AB8" s="87"/>
      <c r="AC8" s="87"/>
      <c r="AD8" s="86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6"/>
      <c r="AR8" s="86"/>
      <c r="AS8" s="83"/>
      <c r="AT8" s="83"/>
      <c r="AU8" s="83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O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W8" s="87"/>
      <c r="CX8" s="88"/>
      <c r="CY8" s="87"/>
      <c r="CZ8" s="87"/>
      <c r="DA8" s="87"/>
      <c r="DB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R8" s="74"/>
      <c r="DT8" s="74"/>
      <c r="EA8" s="74"/>
      <c r="ER8" s="87"/>
      <c r="FV8" s="87"/>
      <c r="FW8" s="87"/>
      <c r="FX8" s="87"/>
      <c r="GB8" s="55"/>
      <c r="GC8" s="89"/>
      <c r="GD8" s="89"/>
      <c r="GE8" s="89"/>
      <c r="GF8" s="89"/>
      <c r="GG8" s="89"/>
      <c r="GH8" s="89"/>
      <c r="HI8" s="55"/>
      <c r="HK8" s="74"/>
      <c r="HN8" s="55"/>
      <c r="IC8" s="87"/>
      <c r="IR8" s="87"/>
      <c r="AMI8" s="0"/>
      <c r="AMJ8" s="0"/>
    </row>
    <row collapsed="false" customFormat="true" customHeight="true" hidden="false" ht="12.75" outlineLevel="0" r="9" s="62">
      <c r="A9" s="90" t="s">
        <v>282</v>
      </c>
      <c r="B9" s="90"/>
      <c r="C9" s="91" t="n">
        <v>12894</v>
      </c>
      <c r="D9" s="90" t="s">
        <v>283</v>
      </c>
      <c r="E9" s="90"/>
      <c r="F9" s="92" t="n">
        <v>0</v>
      </c>
      <c r="G9" s="92" t="n">
        <f aca="false">(0.6*2)*2</f>
        <v>2.4</v>
      </c>
      <c r="H9" s="92" t="n">
        <v>0</v>
      </c>
      <c r="I9" s="93" t="n">
        <f aca="false">SUM(F9:H9)*30/3</f>
        <v>24</v>
      </c>
      <c r="L9" s="83"/>
      <c r="M9" s="84"/>
      <c r="N9" s="85"/>
      <c r="O9" s="85"/>
      <c r="P9" s="86"/>
      <c r="Q9" s="86"/>
      <c r="R9" s="70"/>
      <c r="S9" s="86"/>
      <c r="T9" s="86"/>
      <c r="U9" s="86"/>
      <c r="V9" s="86"/>
      <c r="W9" s="86"/>
      <c r="X9" s="86"/>
      <c r="Y9" s="87"/>
      <c r="Z9" s="87"/>
      <c r="AA9" s="87"/>
      <c r="AB9" s="87"/>
      <c r="AC9" s="87"/>
      <c r="AD9" s="86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6"/>
      <c r="AR9" s="86"/>
      <c r="AS9" s="83"/>
      <c r="AT9" s="83"/>
      <c r="AU9" s="83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O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W9" s="87"/>
      <c r="CX9" s="88"/>
      <c r="CY9" s="87"/>
      <c r="CZ9" s="87"/>
      <c r="DA9" s="87"/>
      <c r="DB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R9" s="74"/>
      <c r="DT9" s="74"/>
      <c r="EA9" s="74"/>
      <c r="ER9" s="87"/>
      <c r="FV9" s="87"/>
      <c r="FW9" s="87"/>
      <c r="FX9" s="87"/>
      <c r="GB9" s="55"/>
      <c r="GC9" s="89"/>
      <c r="GD9" s="89"/>
      <c r="GE9" s="89"/>
      <c r="GF9" s="89"/>
      <c r="GG9" s="89"/>
      <c r="GH9" s="89"/>
      <c r="HI9" s="55"/>
      <c r="HK9" s="74"/>
      <c r="HN9" s="55"/>
      <c r="IC9" s="87"/>
      <c r="IR9" s="87"/>
      <c r="AMI9" s="0"/>
      <c r="AMJ9" s="0"/>
    </row>
    <row collapsed="false" customFormat="true" customHeight="true" hidden="false" ht="12.75" outlineLevel="0" r="10" s="62">
      <c r="A10" s="94" t="s">
        <v>282</v>
      </c>
      <c r="B10" s="94"/>
      <c r="C10" s="95" t="n">
        <v>12894</v>
      </c>
      <c r="D10" s="94" t="s">
        <v>283</v>
      </c>
      <c r="E10" s="94"/>
      <c r="F10" s="96" t="n">
        <v>0</v>
      </c>
      <c r="G10" s="96" t="n">
        <f aca="false">(0.4*2)*2</f>
        <v>1.6</v>
      </c>
      <c r="H10" s="96" t="n">
        <v>0</v>
      </c>
      <c r="I10" s="97" t="n">
        <f aca="false">SUM(F10:H10)*30/3</f>
        <v>16</v>
      </c>
      <c r="L10" s="83"/>
      <c r="M10" s="84"/>
      <c r="N10" s="85"/>
      <c r="O10" s="85"/>
      <c r="P10" s="86"/>
      <c r="Q10" s="86"/>
      <c r="R10" s="70"/>
      <c r="S10" s="86"/>
      <c r="T10" s="86"/>
      <c r="U10" s="86"/>
      <c r="V10" s="86"/>
      <c r="W10" s="86"/>
      <c r="X10" s="86"/>
      <c r="Y10" s="87"/>
      <c r="Z10" s="87"/>
      <c r="AA10" s="87"/>
      <c r="AB10" s="87"/>
      <c r="AC10" s="87"/>
      <c r="AD10" s="86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6"/>
      <c r="AR10" s="86"/>
      <c r="AS10" s="83"/>
      <c r="AT10" s="83"/>
      <c r="AU10" s="83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O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W10" s="87"/>
      <c r="CX10" s="88"/>
      <c r="CY10" s="87"/>
      <c r="CZ10" s="87"/>
      <c r="DA10" s="87"/>
      <c r="DB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R10" s="74"/>
      <c r="DT10" s="74"/>
      <c r="EA10" s="74"/>
      <c r="ER10" s="87"/>
      <c r="FV10" s="87"/>
      <c r="FW10" s="87"/>
      <c r="FX10" s="87"/>
      <c r="GB10" s="55"/>
      <c r="GC10" s="89"/>
      <c r="GD10" s="89"/>
      <c r="GE10" s="89"/>
      <c r="GF10" s="89"/>
      <c r="GG10" s="89"/>
      <c r="GH10" s="89"/>
      <c r="HI10" s="55"/>
      <c r="HK10" s="74"/>
      <c r="HN10" s="55"/>
      <c r="IC10" s="87"/>
      <c r="IR10" s="87"/>
      <c r="AMI10" s="0"/>
      <c r="AMJ10" s="0"/>
    </row>
    <row collapsed="false" customFormat="true" customHeight="true" hidden="false" ht="12.75" outlineLevel="0" r="11" s="62">
      <c r="A11" s="79" t="s">
        <v>284</v>
      </c>
      <c r="B11" s="79"/>
      <c r="C11" s="80" t="n">
        <v>1404</v>
      </c>
      <c r="D11" s="79" t="s">
        <v>277</v>
      </c>
      <c r="E11" s="79"/>
      <c r="F11" s="81" t="n">
        <v>0</v>
      </c>
      <c r="G11" s="81" t="n">
        <f aca="false">2*2</f>
        <v>4</v>
      </c>
      <c r="H11" s="81" t="n">
        <v>0</v>
      </c>
      <c r="I11" s="98" t="n">
        <f aca="false">SUM(F11:H11)/3</f>
        <v>1.33333333333333</v>
      </c>
      <c r="L11" s="83"/>
      <c r="M11" s="85"/>
      <c r="N11" s="85"/>
      <c r="O11" s="85"/>
      <c r="P11" s="86"/>
      <c r="Q11" s="86"/>
      <c r="R11" s="34" t="n">
        <f aca="false">150*$I11</f>
        <v>200</v>
      </c>
      <c r="S11" s="86"/>
      <c r="T11" s="86"/>
      <c r="U11" s="86"/>
      <c r="V11" s="86"/>
      <c r="W11" s="86"/>
      <c r="X11" s="86"/>
      <c r="Y11" s="87"/>
      <c r="Z11" s="87"/>
      <c r="AA11" s="87"/>
      <c r="AB11" s="87"/>
      <c r="AC11" s="87"/>
      <c r="AD11" s="86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6"/>
      <c r="AR11" s="86"/>
      <c r="AS11" s="83"/>
      <c r="AT11" s="83"/>
      <c r="AU11" s="83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O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W11" s="87"/>
      <c r="CX11" s="88"/>
      <c r="CY11" s="87"/>
      <c r="CZ11" s="87"/>
      <c r="DA11" s="87"/>
      <c r="DB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R11" s="74"/>
      <c r="DT11" s="74"/>
      <c r="EA11" s="74"/>
      <c r="ER11" s="87"/>
      <c r="FV11" s="87"/>
      <c r="FW11" s="87"/>
      <c r="FX11" s="87"/>
      <c r="GB11" s="55"/>
      <c r="GC11" s="89"/>
      <c r="GD11" s="89"/>
      <c r="GE11" s="89"/>
      <c r="GF11" s="89"/>
      <c r="GG11" s="89"/>
      <c r="GH11" s="89"/>
      <c r="HI11" s="55"/>
      <c r="HK11" s="74"/>
      <c r="HN11" s="55"/>
      <c r="IC11" s="87"/>
      <c r="IR11" s="87"/>
      <c r="AMI11" s="0"/>
      <c r="AMJ11" s="0"/>
    </row>
    <row collapsed="false" customFormat="false" customHeight="true" hidden="false" ht="12.75" outlineLevel="0" r="12">
      <c r="A12" s="99" t="s">
        <v>285</v>
      </c>
      <c r="B12" s="99"/>
      <c r="C12" s="64" t="n">
        <v>1317</v>
      </c>
      <c r="D12" s="100" t="s">
        <v>286</v>
      </c>
      <c r="E12" s="100"/>
      <c r="F12" s="101" t="n">
        <v>0</v>
      </c>
      <c r="G12" s="101" t="n">
        <f aca="false">2*2</f>
        <v>4</v>
      </c>
      <c r="H12" s="101" t="n">
        <f aca="false">2*3</f>
        <v>6</v>
      </c>
      <c r="I12" s="102" t="n">
        <f aca="false">SUM(F12:H12)/3</f>
        <v>3.33333333333333</v>
      </c>
      <c r="J12" s="103" t="n">
        <f aca="false">100/4*$I12</f>
        <v>83.3333333333333</v>
      </c>
      <c r="K12" s="104"/>
      <c r="M12" s="4"/>
      <c r="N12" s="4"/>
      <c r="O12" s="4"/>
      <c r="P12" s="4"/>
      <c r="Q12" s="4"/>
      <c r="R12" s="34"/>
      <c r="S12" s="4"/>
      <c r="T12" s="4"/>
      <c r="U12" s="4"/>
      <c r="V12" s="4"/>
      <c r="W12" s="4"/>
      <c r="X12" s="4"/>
      <c r="AN12" s="29" t="n">
        <f aca="false">1.5/4*$I12</f>
        <v>1.25</v>
      </c>
      <c r="DG12" s="4"/>
      <c r="DH12" s="33" t="n">
        <f aca="false">2000/4*$I12</f>
        <v>1666.66666666667</v>
      </c>
      <c r="ET12" s="33" t="n">
        <f aca="false">1000/4*$I12</f>
        <v>833.333333333333</v>
      </c>
      <c r="HP12" s="33" t="n">
        <f aca="false">440/4*I12</f>
        <v>366.666666666667</v>
      </c>
    </row>
    <row collapsed="false" customFormat="false" customHeight="true" hidden="false" ht="12.75" outlineLevel="0" r="13">
      <c r="A13" s="105" t="s">
        <v>285</v>
      </c>
      <c r="B13" s="105"/>
      <c r="C13" s="76" t="n">
        <v>1317</v>
      </c>
      <c r="D13" s="106" t="s">
        <v>286</v>
      </c>
      <c r="E13" s="106"/>
      <c r="F13" s="107" t="n">
        <v>0</v>
      </c>
      <c r="G13" s="107" t="n">
        <f aca="false">2*2</f>
        <v>4</v>
      </c>
      <c r="H13" s="107" t="n">
        <v>3</v>
      </c>
      <c r="I13" s="108" t="n">
        <f aca="false">SUM(F13:H13)/3</f>
        <v>2.33333333333333</v>
      </c>
      <c r="J13" s="109" t="n">
        <f aca="false">100/4*$I13</f>
        <v>58.3333333333333</v>
      </c>
      <c r="K13" s="104"/>
      <c r="M13" s="4"/>
      <c r="N13" s="4"/>
      <c r="O13" s="4"/>
      <c r="P13" s="4"/>
      <c r="Q13" s="4"/>
      <c r="R13" s="34"/>
      <c r="S13" s="4"/>
      <c r="T13" s="4"/>
      <c r="U13" s="4"/>
      <c r="V13" s="4"/>
      <c r="W13" s="4"/>
      <c r="X13" s="4"/>
      <c r="AN13" s="36" t="n">
        <f aca="false">1.5/4*$I13</f>
        <v>0.875</v>
      </c>
      <c r="DG13" s="4"/>
      <c r="DH13" s="40" t="n">
        <f aca="false">2000/4*$I13</f>
        <v>1166.66666666667</v>
      </c>
      <c r="ET13" s="40" t="n">
        <f aca="false">1000/4*$I13</f>
        <v>583.333333333333</v>
      </c>
      <c r="HP13" s="40" t="n">
        <f aca="false">440/4*I13</f>
        <v>256.666666666667</v>
      </c>
    </row>
    <row collapsed="false" customFormat="true" customHeight="true" hidden="false" ht="12.75" outlineLevel="0" r="14" s="4">
      <c r="A14" s="110" t="s">
        <v>287</v>
      </c>
      <c r="B14" s="110"/>
      <c r="C14" s="111" t="n">
        <v>919</v>
      </c>
      <c r="D14" s="112" t="s">
        <v>288</v>
      </c>
      <c r="E14" s="112"/>
      <c r="F14" s="113" t="n">
        <v>0</v>
      </c>
      <c r="G14" s="113" t="n">
        <v>2</v>
      </c>
      <c r="H14" s="113" t="n">
        <v>0</v>
      </c>
      <c r="I14" s="114" t="n">
        <f aca="false">SUM(F14:H14)/3</f>
        <v>0.666666666666667</v>
      </c>
      <c r="J14" s="104"/>
      <c r="K14" s="104"/>
      <c r="R14" s="34"/>
      <c r="W14" s="115" t="n">
        <f aca="false">500*$I14</f>
        <v>333.333333333333</v>
      </c>
      <c r="BA14" s="4" t="n">
        <f aca="false">45*I14</f>
        <v>30</v>
      </c>
      <c r="CX14" s="35"/>
      <c r="GB14" s="34"/>
      <c r="GC14" s="116"/>
      <c r="GD14" s="116"/>
      <c r="GE14" s="116"/>
      <c r="GF14" s="116"/>
      <c r="GG14" s="116"/>
      <c r="GH14" s="116"/>
      <c r="GJ14" s="1"/>
      <c r="HI14" s="34"/>
      <c r="HN14" s="34"/>
      <c r="AMI14" s="0"/>
      <c r="AMJ14" s="0"/>
    </row>
    <row collapsed="false" customFormat="true" customHeight="true" hidden="false" ht="12.75" outlineLevel="0" r="15" s="4">
      <c r="A15" s="117" t="s">
        <v>289</v>
      </c>
      <c r="B15" s="118"/>
      <c r="C15" s="119" t="n">
        <v>888</v>
      </c>
      <c r="D15" s="120" t="s">
        <v>290</v>
      </c>
      <c r="E15" s="120"/>
      <c r="F15" s="121" t="n">
        <f aca="false">2*2</f>
        <v>4</v>
      </c>
      <c r="G15" s="121" t="n">
        <v>0</v>
      </c>
      <c r="H15" s="121" t="n">
        <v>3</v>
      </c>
      <c r="I15" s="102" t="n">
        <f aca="false">SUM(F15:H15)/3</f>
        <v>2.33333333333333</v>
      </c>
      <c r="J15" s="104"/>
      <c r="K15" s="104"/>
      <c r="R15" s="34"/>
      <c r="X15" s="122" t="n">
        <f aca="false">125*$I15</f>
        <v>291.666666666667</v>
      </c>
      <c r="CX15" s="35"/>
      <c r="GB15" s="34"/>
      <c r="GC15" s="116"/>
      <c r="GD15" s="116"/>
      <c r="GE15" s="116"/>
      <c r="GF15" s="116"/>
      <c r="GG15" s="116"/>
      <c r="GH15" s="116"/>
      <c r="GJ15" s="1"/>
      <c r="HI15" s="34"/>
      <c r="HN15" s="34"/>
      <c r="AMI15" s="0"/>
      <c r="AMJ15" s="0"/>
    </row>
    <row collapsed="false" customFormat="true" customHeight="true" hidden="false" ht="12.75" outlineLevel="0" r="16" s="4">
      <c r="A16" s="123" t="s">
        <v>289</v>
      </c>
      <c r="B16" s="124"/>
      <c r="C16" s="95" t="n">
        <v>888</v>
      </c>
      <c r="D16" s="125" t="s">
        <v>290</v>
      </c>
      <c r="E16" s="125"/>
      <c r="F16" s="126" t="n">
        <v>2</v>
      </c>
      <c r="G16" s="126" t="n">
        <v>0</v>
      </c>
      <c r="H16" s="126" t="n">
        <v>3</v>
      </c>
      <c r="I16" s="108" t="n">
        <f aca="false">SUM(F16:H16)/3</f>
        <v>1.66666666666667</v>
      </c>
      <c r="J16" s="104"/>
      <c r="K16" s="104"/>
      <c r="R16" s="34"/>
      <c r="X16" s="127" t="n">
        <f aca="false">125*$I16</f>
        <v>208.333333333333</v>
      </c>
      <c r="CX16" s="35"/>
      <c r="GB16" s="34"/>
      <c r="GC16" s="116"/>
      <c r="GD16" s="116"/>
      <c r="GE16" s="116"/>
      <c r="GF16" s="116"/>
      <c r="GG16" s="116"/>
      <c r="GH16" s="116"/>
      <c r="GJ16" s="1"/>
      <c r="HI16" s="34"/>
      <c r="HN16" s="34"/>
      <c r="AMI16" s="0"/>
      <c r="AMJ16" s="0"/>
    </row>
    <row collapsed="false" customFormat="true" customHeight="true" hidden="false" ht="12.75" outlineLevel="0" r="17" s="4">
      <c r="A17" s="128" t="s">
        <v>291</v>
      </c>
      <c r="B17" s="128"/>
      <c r="C17" s="91" t="n">
        <v>1066</v>
      </c>
      <c r="D17" s="129" t="s">
        <v>292</v>
      </c>
      <c r="E17" s="129"/>
      <c r="F17" s="130" t="n">
        <v>1</v>
      </c>
      <c r="G17" s="130" t="n">
        <v>2</v>
      </c>
      <c r="H17" s="130" t="n">
        <v>0</v>
      </c>
      <c r="I17" s="131" t="n">
        <f aca="false">SUM(F17:H17)/3</f>
        <v>1</v>
      </c>
      <c r="J17" s="104"/>
      <c r="K17" s="104"/>
      <c r="R17" s="34"/>
      <c r="Z17" s="132" t="n">
        <f aca="false">81*$I17</f>
        <v>81</v>
      </c>
      <c r="CX17" s="35"/>
      <c r="GB17" s="34"/>
      <c r="GC17" s="116"/>
      <c r="GD17" s="116"/>
      <c r="GE17" s="116"/>
      <c r="GF17" s="116"/>
      <c r="GG17" s="116"/>
      <c r="GH17" s="116"/>
      <c r="GJ17" s="1"/>
      <c r="HI17" s="34"/>
      <c r="HN17" s="34"/>
      <c r="AMI17" s="0"/>
      <c r="AMJ17" s="0"/>
    </row>
    <row collapsed="false" customFormat="true" customHeight="true" hidden="false" ht="12.75" outlineLevel="0" r="18" s="4">
      <c r="A18" s="124" t="s">
        <v>291</v>
      </c>
      <c r="B18" s="124"/>
      <c r="C18" s="95" t="n">
        <v>1066</v>
      </c>
      <c r="D18" s="125" t="s">
        <v>292</v>
      </c>
      <c r="E18" s="125"/>
      <c r="F18" s="126" t="n">
        <v>0</v>
      </c>
      <c r="G18" s="126" t="n">
        <v>2</v>
      </c>
      <c r="H18" s="126" t="n">
        <v>0</v>
      </c>
      <c r="I18" s="108" t="n">
        <f aca="false">SUM(F18:H18)/3</f>
        <v>0.666666666666667</v>
      </c>
      <c r="J18" s="104"/>
      <c r="K18" s="104"/>
      <c r="R18" s="34"/>
      <c r="Z18" s="36" t="n">
        <f aca="false">81*$I18</f>
        <v>54</v>
      </c>
      <c r="CX18" s="35"/>
      <c r="GB18" s="34"/>
      <c r="GC18" s="116"/>
      <c r="GD18" s="116"/>
      <c r="GE18" s="116"/>
      <c r="GF18" s="116"/>
      <c r="GG18" s="116"/>
      <c r="GH18" s="116"/>
      <c r="GJ18" s="1"/>
      <c r="HI18" s="34"/>
      <c r="HN18" s="34"/>
      <c r="AMI18" s="0"/>
      <c r="AMJ18" s="0"/>
    </row>
    <row collapsed="false" customFormat="false" customHeight="true" hidden="false" ht="12.75" outlineLevel="0" r="19">
      <c r="A19" s="133" t="s">
        <v>293</v>
      </c>
      <c r="B19" s="133"/>
      <c r="C19" s="134" t="n">
        <v>13641</v>
      </c>
      <c r="D19" s="135" t="s">
        <v>294</v>
      </c>
      <c r="E19" s="135"/>
      <c r="F19" s="136" t="n">
        <f aca="false">36*2</f>
        <v>72</v>
      </c>
      <c r="G19" s="136" t="n">
        <v>0</v>
      </c>
      <c r="H19" s="136" t="n">
        <v>0</v>
      </c>
      <c r="I19" s="102" t="n">
        <f aca="false">SUM(F19:H19)/3</f>
        <v>24</v>
      </c>
      <c r="J19" s="137"/>
      <c r="K19" s="137"/>
      <c r="M19" s="4"/>
      <c r="N19" s="4"/>
      <c r="O19" s="4"/>
      <c r="P19" s="4"/>
      <c r="Q19" s="4"/>
      <c r="R19" s="34"/>
      <c r="S19" s="4"/>
      <c r="T19" s="4"/>
      <c r="U19" s="4"/>
      <c r="V19" s="4"/>
      <c r="W19" s="4"/>
      <c r="X19" s="4"/>
      <c r="AA19" s="4"/>
      <c r="AB19" s="29" t="n">
        <f aca="false">0.5/30*$I19</f>
        <v>0.4</v>
      </c>
    </row>
    <row collapsed="false" customFormat="false" customHeight="true" hidden="false" ht="12.75" outlineLevel="0" r="20">
      <c r="A20" s="124" t="s">
        <v>293</v>
      </c>
      <c r="B20" s="124"/>
      <c r="C20" s="95" t="n">
        <v>13641</v>
      </c>
      <c r="D20" s="125" t="s">
        <v>294</v>
      </c>
      <c r="E20" s="125"/>
      <c r="F20" s="126" t="n">
        <f aca="false">24*2</f>
        <v>48</v>
      </c>
      <c r="G20" s="126" t="n">
        <v>0</v>
      </c>
      <c r="H20" s="126" t="n">
        <v>0</v>
      </c>
      <c r="I20" s="108" t="n">
        <f aca="false">SUM(F20:H20)/3</f>
        <v>16</v>
      </c>
      <c r="J20" s="137"/>
      <c r="K20" s="137"/>
      <c r="M20" s="4"/>
      <c r="N20" s="4"/>
      <c r="O20" s="4"/>
      <c r="P20" s="4"/>
      <c r="Q20" s="4"/>
      <c r="R20" s="34"/>
      <c r="S20" s="4"/>
      <c r="T20" s="4"/>
      <c r="U20" s="4"/>
      <c r="V20" s="4"/>
      <c r="W20" s="4"/>
      <c r="X20" s="4"/>
      <c r="AA20" s="4"/>
      <c r="AB20" s="127" t="n">
        <f aca="false">0.5/30*$I20</f>
        <v>0.266666666666667</v>
      </c>
    </row>
    <row collapsed="false" customFormat="false" customHeight="true" hidden="false" ht="12.75" outlineLevel="0" r="21">
      <c r="A21" s="138" t="s">
        <v>295</v>
      </c>
      <c r="B21" s="138"/>
      <c r="C21" s="80" t="n">
        <v>12845</v>
      </c>
      <c r="D21" s="139" t="s">
        <v>296</v>
      </c>
      <c r="E21" s="139"/>
      <c r="F21" s="140" t="n">
        <v>2</v>
      </c>
      <c r="G21" s="140" t="n">
        <f aca="false">2*2</f>
        <v>4</v>
      </c>
      <c r="H21" s="140" t="n">
        <v>0</v>
      </c>
      <c r="I21" s="114" t="n">
        <f aca="false">SUM(F21:H21)/3</f>
        <v>2</v>
      </c>
      <c r="J21" s="137"/>
      <c r="K21" s="137"/>
      <c r="AB21" s="0" t="s">
        <v>297</v>
      </c>
      <c r="CO21" s="1" t="n">
        <f aca="false">2.5*I21</f>
        <v>5</v>
      </c>
    </row>
    <row collapsed="false" customFormat="false" customHeight="true" hidden="false" ht="12.75" outlineLevel="0" r="22">
      <c r="A22" s="141" t="s">
        <v>298</v>
      </c>
      <c r="B22" s="141"/>
      <c r="C22" s="142" t="n">
        <v>13127</v>
      </c>
      <c r="D22" s="143" t="s">
        <v>299</v>
      </c>
      <c r="E22" s="143"/>
      <c r="F22" s="144" t="n">
        <v>2</v>
      </c>
      <c r="G22" s="144" t="n">
        <v>2</v>
      </c>
      <c r="H22" s="144" t="n">
        <v>0</v>
      </c>
      <c r="I22" s="102" t="n">
        <f aca="false">SUM(F22:H22)/3</f>
        <v>1.33333333333333</v>
      </c>
      <c r="J22" s="137"/>
      <c r="K22" s="137"/>
      <c r="AC22" s="145" t="n">
        <f aca="false">500*I22/2</f>
        <v>333.333333333333</v>
      </c>
      <c r="AE22" s="4"/>
      <c r="AF22" s="4"/>
      <c r="AG22" s="4"/>
      <c r="AQ22" s="146" t="n">
        <f aca="false">86*$I22/2</f>
        <v>57.3333333333333</v>
      </c>
      <c r="BT22" s="147" t="n">
        <f aca="false">100/2*$I22</f>
        <v>66.6666666666667</v>
      </c>
      <c r="GX22" s="146" t="n">
        <f aca="false">100/2*$I22</f>
        <v>66.6666666666667</v>
      </c>
      <c r="HK22" s="148" t="n">
        <f aca="false">5*$I22/2</f>
        <v>3.33333333333333</v>
      </c>
    </row>
    <row collapsed="false" customFormat="false" customHeight="true" hidden="false" ht="12.75" outlineLevel="0" r="23">
      <c r="A23" s="149" t="s">
        <v>300</v>
      </c>
      <c r="B23" s="149"/>
      <c r="C23" s="150" t="n">
        <v>90</v>
      </c>
      <c r="D23" s="151" t="s">
        <v>301</v>
      </c>
      <c r="E23" s="151"/>
      <c r="F23" s="152"/>
      <c r="G23" s="152"/>
      <c r="H23" s="152"/>
      <c r="I23" s="102" t="n">
        <f aca="false">1.2*0.4*2/3</f>
        <v>0.32</v>
      </c>
      <c r="J23" s="137"/>
      <c r="K23" s="137"/>
      <c r="AC23" s="4"/>
      <c r="AE23" s="4"/>
      <c r="AF23" s="4"/>
      <c r="AG23" s="4"/>
      <c r="BT23" s="34"/>
      <c r="GX23" s="4"/>
      <c r="ID23" s="153" t="n">
        <f aca="false">360/405*1000*I23</f>
        <v>284.444444444444</v>
      </c>
    </row>
    <row collapsed="false" customFormat="true" customHeight="true" hidden="false" ht="12.75" outlineLevel="0" r="24" s="4">
      <c r="A24" s="149" t="s">
        <v>300</v>
      </c>
      <c r="B24" s="149"/>
      <c r="C24" s="150" t="n">
        <v>90</v>
      </c>
      <c r="D24" s="151" t="s">
        <v>301</v>
      </c>
      <c r="E24" s="151"/>
      <c r="F24" s="152"/>
      <c r="G24" s="152"/>
      <c r="H24" s="152"/>
      <c r="I24" s="108" t="n">
        <f aca="false">0.8*0.4*2/3</f>
        <v>0.213333333333333</v>
      </c>
      <c r="J24" s="104"/>
      <c r="K24" s="104"/>
      <c r="R24" s="34"/>
      <c r="BT24" s="34"/>
      <c r="CX24" s="35"/>
      <c r="GB24" s="34"/>
      <c r="GC24" s="116"/>
      <c r="GD24" s="116"/>
      <c r="GE24" s="116"/>
      <c r="GF24" s="116"/>
      <c r="GG24" s="116"/>
      <c r="GH24" s="116"/>
      <c r="GJ24" s="1"/>
      <c r="HI24" s="34"/>
      <c r="HN24" s="34"/>
      <c r="ID24" s="153" t="n">
        <f aca="false">360/405*1000*I24</f>
        <v>189.62962962963</v>
      </c>
      <c r="AMI24" s="0"/>
      <c r="AMJ24" s="0"/>
    </row>
    <row collapsed="false" customFormat="true" customHeight="true" hidden="false" ht="12.75" outlineLevel="0" r="25" s="4">
      <c r="A25" s="110" t="s">
        <v>302</v>
      </c>
      <c r="B25" s="110"/>
      <c r="C25" s="111" t="n">
        <v>91</v>
      </c>
      <c r="D25" s="112" t="s">
        <v>303</v>
      </c>
      <c r="E25" s="112"/>
      <c r="F25" s="113" t="n">
        <v>0</v>
      </c>
      <c r="G25" s="113" t="n">
        <v>2</v>
      </c>
      <c r="H25" s="113" t="n">
        <v>0</v>
      </c>
      <c r="I25" s="114" t="n">
        <f aca="false">SUM(F25:H25)/3</f>
        <v>0.666666666666667</v>
      </c>
      <c r="J25" s="104"/>
      <c r="K25" s="104"/>
      <c r="R25" s="34"/>
      <c r="CX25" s="35"/>
      <c r="GB25" s="34"/>
      <c r="GC25" s="116"/>
      <c r="GD25" s="116"/>
      <c r="GE25" s="116"/>
      <c r="GF25" s="116"/>
      <c r="GG25" s="116"/>
      <c r="GH25" s="116"/>
      <c r="GJ25" s="1"/>
      <c r="HI25" s="34"/>
      <c r="HN25" s="34"/>
      <c r="ID25" s="34" t="n">
        <f aca="false">500*I25</f>
        <v>333.333333333333</v>
      </c>
      <c r="AMI25" s="0"/>
      <c r="AMJ25" s="0"/>
    </row>
    <row collapsed="false" customFormat="false" customHeight="true" hidden="false" ht="12.75" outlineLevel="0" r="26">
      <c r="A26" s="138" t="s">
        <v>304</v>
      </c>
      <c r="B26" s="110"/>
      <c r="C26" s="80" t="n">
        <v>93</v>
      </c>
      <c r="D26" s="139" t="s">
        <v>305</v>
      </c>
      <c r="E26" s="139"/>
      <c r="F26" s="140" t="n">
        <v>2</v>
      </c>
      <c r="G26" s="140" t="n">
        <v>2</v>
      </c>
      <c r="H26" s="140"/>
      <c r="I26" s="114" t="n">
        <f aca="false">SUM(F26:H26)/3</f>
        <v>1.33333333333333</v>
      </c>
      <c r="J26" s="154"/>
      <c r="K26" s="154"/>
      <c r="IE26" s="51" t="n">
        <f aca="false">100*I26</f>
        <v>133.333333333333</v>
      </c>
    </row>
    <row collapsed="false" customFormat="true" customHeight="true" hidden="false" ht="12.75" outlineLevel="0" r="27" s="163">
      <c r="A27" s="155" t="s">
        <v>306</v>
      </c>
      <c r="B27" s="155"/>
      <c r="C27" s="156" t="n">
        <v>97</v>
      </c>
      <c r="D27" s="157" t="s">
        <v>307</v>
      </c>
      <c r="E27" s="157"/>
      <c r="F27" s="158"/>
      <c r="G27" s="158"/>
      <c r="H27" s="158"/>
      <c r="I27" s="159" t="n">
        <f aca="false">1.2*0*2/3</f>
        <v>0</v>
      </c>
      <c r="J27" s="160"/>
      <c r="K27" s="160"/>
      <c r="L27" s="161"/>
      <c r="M27" s="161"/>
      <c r="N27" s="161"/>
      <c r="O27" s="161"/>
      <c r="P27" s="161"/>
      <c r="Q27" s="161"/>
      <c r="R27" s="162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4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2"/>
      <c r="GC27" s="165"/>
      <c r="GD27" s="165"/>
      <c r="GE27" s="165"/>
      <c r="GF27" s="165"/>
      <c r="GG27" s="165"/>
      <c r="GH27" s="165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2"/>
      <c r="HJ27" s="161"/>
      <c r="HK27" s="161"/>
      <c r="HL27" s="161"/>
      <c r="HM27" s="161"/>
      <c r="HN27" s="162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6"/>
      <c r="IF27" s="161"/>
      <c r="IG27" s="161"/>
      <c r="IH27" s="161"/>
      <c r="II27" s="166" t="n">
        <f aca="false">1300/1.43*$I27</f>
        <v>0</v>
      </c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  <c r="IW27" s="161"/>
      <c r="IX27" s="161"/>
      <c r="IY27" s="161"/>
      <c r="IZ27" s="161"/>
      <c r="JA27" s="161"/>
      <c r="JB27" s="161"/>
      <c r="JC27" s="161"/>
      <c r="JD27" s="161"/>
    </row>
    <row collapsed="false" customFormat="true" customHeight="true" hidden="false" ht="12.75" outlineLevel="0" r="28" s="163">
      <c r="A28" s="155" t="s">
        <v>306</v>
      </c>
      <c r="B28" s="155"/>
      <c r="C28" s="156" t="n">
        <v>97</v>
      </c>
      <c r="D28" s="157" t="s">
        <v>307</v>
      </c>
      <c r="E28" s="157"/>
      <c r="F28" s="158"/>
      <c r="G28" s="158"/>
      <c r="H28" s="158"/>
      <c r="I28" s="159" t="n">
        <f aca="false">0.8*0*2/3</f>
        <v>0</v>
      </c>
      <c r="J28" s="160"/>
      <c r="K28" s="160"/>
      <c r="L28" s="161"/>
      <c r="M28" s="161"/>
      <c r="N28" s="161"/>
      <c r="O28" s="161"/>
      <c r="P28" s="161"/>
      <c r="Q28" s="161"/>
      <c r="R28" s="162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4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2"/>
      <c r="GC28" s="165"/>
      <c r="GD28" s="165"/>
      <c r="GE28" s="165"/>
      <c r="GF28" s="165"/>
      <c r="GG28" s="165"/>
      <c r="GH28" s="165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2"/>
      <c r="HJ28" s="161"/>
      <c r="HK28" s="161"/>
      <c r="HL28" s="161"/>
      <c r="HM28" s="161"/>
      <c r="HN28" s="162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6"/>
      <c r="IF28" s="161"/>
      <c r="IG28" s="161"/>
      <c r="IH28" s="161"/>
      <c r="II28" s="166" t="n">
        <f aca="false">1300/1.43*$I28</f>
        <v>0</v>
      </c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  <c r="IW28" s="161"/>
      <c r="IX28" s="161"/>
      <c r="IY28" s="161"/>
      <c r="IZ28" s="161"/>
      <c r="JA28" s="161"/>
      <c r="JB28" s="161"/>
      <c r="JC28" s="161"/>
      <c r="JD28" s="161"/>
    </row>
    <row collapsed="false" customFormat="false" customHeight="true" hidden="false" ht="12.75" outlineLevel="0" r="29">
      <c r="A29" s="167" t="s">
        <v>308</v>
      </c>
      <c r="B29" s="167"/>
      <c r="C29" s="168" t="n">
        <v>1403</v>
      </c>
      <c r="D29" s="169" t="s">
        <v>309</v>
      </c>
      <c r="E29" s="169"/>
      <c r="F29" s="170"/>
      <c r="G29" s="170"/>
      <c r="H29" s="170"/>
      <c r="I29" s="171" t="n">
        <f aca="false">0*2/3</f>
        <v>0</v>
      </c>
      <c r="J29" s="172"/>
      <c r="K29" s="172"/>
      <c r="L29" s="173"/>
      <c r="M29" s="173"/>
      <c r="N29" s="173"/>
      <c r="O29" s="173"/>
      <c r="P29" s="173"/>
      <c r="Q29" s="173"/>
      <c r="R29" s="174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5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4"/>
      <c r="GC29" s="176"/>
      <c r="GD29" s="176"/>
      <c r="GE29" s="176"/>
      <c r="GF29" s="176"/>
      <c r="GG29" s="176"/>
      <c r="GH29" s="176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4"/>
      <c r="HJ29" s="173"/>
      <c r="HK29" s="173"/>
      <c r="HL29" s="173"/>
      <c r="HM29" s="173"/>
      <c r="HN29" s="174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7" t="n">
        <f aca="false">100*$I29</f>
        <v>0</v>
      </c>
      <c r="IN29" s="173"/>
      <c r="IO29" s="173"/>
      <c r="IP29" s="173"/>
      <c r="IQ29" s="173"/>
      <c r="IR29" s="173"/>
      <c r="IS29" s="173"/>
      <c r="IT29" s="173"/>
      <c r="IU29" s="173"/>
      <c r="IV29" s="173"/>
      <c r="IW29" s="173"/>
      <c r="IX29" s="173"/>
      <c r="IY29" s="173"/>
      <c r="IZ29" s="173"/>
      <c r="JA29" s="173"/>
      <c r="JB29" s="173"/>
      <c r="JC29" s="173"/>
      <c r="JD29" s="173"/>
      <c r="JE29" s="178"/>
      <c r="JF29" s="178"/>
      <c r="JG29" s="178"/>
      <c r="JH29" s="178"/>
      <c r="JI29" s="178"/>
      <c r="JJ29" s="178"/>
      <c r="JK29" s="178"/>
      <c r="JL29" s="178"/>
    </row>
    <row collapsed="false" customFormat="false" customHeight="true" hidden="false" ht="12.75" outlineLevel="0" r="30">
      <c r="A30" s="138" t="s">
        <v>310</v>
      </c>
      <c r="B30" s="110"/>
      <c r="C30" s="80" t="n">
        <v>12950</v>
      </c>
      <c r="D30" s="139" t="s">
        <v>311</v>
      </c>
      <c r="E30" s="139"/>
      <c r="F30" s="140" t="n">
        <v>0</v>
      </c>
      <c r="G30" s="140" t="n">
        <v>2</v>
      </c>
      <c r="H30" s="140" t="n">
        <v>3</v>
      </c>
      <c r="I30" s="114" t="n">
        <f aca="false">SUM(F30:H30)/3</f>
        <v>1.66666666666667</v>
      </c>
      <c r="J30" s="154"/>
      <c r="K30" s="154"/>
      <c r="AD30" s="4" t="n">
        <f aca="false">450/2*$I30</f>
        <v>375</v>
      </c>
      <c r="AQ30" s="4" t="n">
        <f aca="false">120/2*$I30</f>
        <v>100</v>
      </c>
    </row>
    <row collapsed="false" customFormat="false" customHeight="true" hidden="false" ht="12.75" outlineLevel="0" r="31">
      <c r="A31" s="138" t="s">
        <v>312</v>
      </c>
      <c r="B31" s="110"/>
      <c r="C31" s="80" t="n">
        <v>1434</v>
      </c>
      <c r="D31" s="139" t="s">
        <v>313</v>
      </c>
      <c r="E31" s="139" t="n">
        <v>0</v>
      </c>
      <c r="F31" s="140" t="n">
        <v>0</v>
      </c>
      <c r="G31" s="140" t="n">
        <f aca="false">2*2</f>
        <v>4</v>
      </c>
      <c r="H31" s="140" t="n">
        <v>0</v>
      </c>
      <c r="I31" s="114" t="n">
        <f aca="false">SUM(F31:H31)/3</f>
        <v>1.33333333333333</v>
      </c>
      <c r="J31" s="154"/>
      <c r="K31" s="154"/>
      <c r="AF31" s="1" t="n">
        <f aca="false">(536+134)/2*I31</f>
        <v>446.666666666667</v>
      </c>
    </row>
    <row collapsed="false" customFormat="false" customHeight="true" hidden="false" ht="12.75" outlineLevel="0" r="32">
      <c r="A32" s="128" t="s">
        <v>314</v>
      </c>
      <c r="B32" s="128"/>
      <c r="C32" s="91" t="n">
        <v>925</v>
      </c>
      <c r="D32" s="129" t="s">
        <v>315</v>
      </c>
      <c r="E32" s="129"/>
      <c r="F32" s="130" t="n">
        <v>2</v>
      </c>
      <c r="G32" s="130" t="n">
        <v>2</v>
      </c>
      <c r="H32" s="130" t="n">
        <v>1</v>
      </c>
      <c r="I32" s="131" t="n">
        <f aca="false">SUM(F32:H32)/3</f>
        <v>1.66666666666667</v>
      </c>
      <c r="J32" s="154"/>
      <c r="K32" s="154"/>
      <c r="IC32" s="148" t="n">
        <f aca="false">250*I32</f>
        <v>416.666666666667</v>
      </c>
      <c r="ID32" s="148" t="n">
        <f aca="false">10*I32</f>
        <v>16.6666666666667</v>
      </c>
    </row>
    <row collapsed="false" customFormat="false" customHeight="true" hidden="false" ht="12.75" outlineLevel="0" r="33">
      <c r="A33" s="124" t="s">
        <v>314</v>
      </c>
      <c r="B33" s="124"/>
      <c r="C33" s="95" t="n">
        <v>925</v>
      </c>
      <c r="D33" s="125" t="s">
        <v>315</v>
      </c>
      <c r="E33" s="125"/>
      <c r="F33" s="126" t="n">
        <v>0</v>
      </c>
      <c r="G33" s="126" t="n">
        <v>2</v>
      </c>
      <c r="H33" s="126" t="n">
        <v>1</v>
      </c>
      <c r="I33" s="108" t="n">
        <f aca="false">SUM(F33:H33)/3</f>
        <v>1</v>
      </c>
      <c r="J33" s="154"/>
      <c r="K33" s="154"/>
      <c r="IC33" s="127" t="n">
        <f aca="false">250*I33</f>
        <v>250</v>
      </c>
      <c r="ID33" s="127" t="n">
        <f aca="false">10*I33</f>
        <v>10</v>
      </c>
    </row>
    <row collapsed="false" customFormat="false" customHeight="true" hidden="false" ht="12.75" outlineLevel="0" r="34">
      <c r="A34" s="138" t="s">
        <v>316</v>
      </c>
      <c r="B34" s="110"/>
      <c r="C34" s="80" t="n">
        <v>1406</v>
      </c>
      <c r="D34" s="139" t="s">
        <v>296</v>
      </c>
      <c r="E34" s="139"/>
      <c r="F34" s="140" t="n">
        <v>0</v>
      </c>
      <c r="G34" s="140" t="n">
        <v>2</v>
      </c>
      <c r="H34" s="140" t="n">
        <v>3</v>
      </c>
      <c r="I34" s="114" t="n">
        <f aca="false">SUM(F34:H34)/3</f>
        <v>1.66666666666667</v>
      </c>
      <c r="J34" s="154"/>
      <c r="K34" s="137" t="n">
        <f aca="false">3000*$I34</f>
        <v>5000</v>
      </c>
      <c r="T34" s="1" t="n">
        <f aca="false">(0.005*500+0.01*200)*$I34</f>
        <v>7.5</v>
      </c>
      <c r="FV34" s="1" t="n">
        <f aca="false">0.25*200*$I34</f>
        <v>83.3333333333333</v>
      </c>
    </row>
    <row collapsed="false" customFormat="false" customHeight="true" hidden="false" ht="12.75" outlineLevel="0" r="35">
      <c r="A35" s="138" t="s">
        <v>317</v>
      </c>
      <c r="B35" s="110"/>
      <c r="C35" s="80" t="n">
        <v>17137</v>
      </c>
      <c r="D35" s="139" t="s">
        <v>318</v>
      </c>
      <c r="E35" s="139"/>
      <c r="F35" s="140" t="n">
        <v>0</v>
      </c>
      <c r="G35" s="140" t="n">
        <v>2</v>
      </c>
      <c r="H35" s="140" t="n">
        <v>0</v>
      </c>
      <c r="I35" s="114" t="n">
        <f aca="false">SUM(F35:H35)/3</f>
        <v>0.666666666666667</v>
      </c>
      <c r="J35" s="154"/>
      <c r="K35" s="137"/>
      <c r="AH35" s="0"/>
      <c r="AJ35" s="3" t="n">
        <f aca="false">350*$I35</f>
        <v>233.333333333333</v>
      </c>
    </row>
    <row collapsed="false" customFormat="true" customHeight="true" hidden="false" ht="12.75" outlineLevel="0" r="36" s="4">
      <c r="A36" s="110" t="s">
        <v>319</v>
      </c>
      <c r="B36" s="110"/>
      <c r="C36" s="111" t="n">
        <v>1073</v>
      </c>
      <c r="D36" s="112" t="s">
        <v>320</v>
      </c>
      <c r="E36" s="112"/>
      <c r="F36" s="113" t="n">
        <v>2</v>
      </c>
      <c r="G36" s="113" t="n">
        <v>2</v>
      </c>
      <c r="H36" s="113" t="n">
        <v>0</v>
      </c>
      <c r="I36" s="114" t="n">
        <f aca="false">SUM(F36:H36)/3</f>
        <v>1.33333333333333</v>
      </c>
      <c r="J36" s="104"/>
      <c r="K36" s="104"/>
      <c r="R36" s="34"/>
      <c r="S36" s="115" t="n">
        <f aca="false">0.25*100*I36</f>
        <v>33.3333333333333</v>
      </c>
      <c r="CX36" s="35"/>
      <c r="GB36" s="34"/>
      <c r="GC36" s="116"/>
      <c r="GD36" s="116"/>
      <c r="GE36" s="116"/>
      <c r="GF36" s="116"/>
      <c r="GG36" s="116"/>
      <c r="GH36" s="116"/>
      <c r="GJ36" s="1"/>
      <c r="HI36" s="34"/>
      <c r="HN36" s="34"/>
      <c r="AMI36" s="0"/>
      <c r="AMJ36" s="0"/>
    </row>
    <row collapsed="false" customFormat="true" customHeight="true" hidden="false" ht="12.75" outlineLevel="0" r="37" s="4">
      <c r="A37" s="128" t="s">
        <v>321</v>
      </c>
      <c r="B37" s="128"/>
      <c r="C37" s="91" t="n">
        <v>1007</v>
      </c>
      <c r="D37" s="129" t="s">
        <v>322</v>
      </c>
      <c r="E37" s="129"/>
      <c r="F37" s="130" t="n">
        <v>0</v>
      </c>
      <c r="G37" s="130" t="n">
        <f aca="false">6*2</f>
        <v>12</v>
      </c>
      <c r="H37" s="130" t="n">
        <v>0</v>
      </c>
      <c r="I37" s="131" t="n">
        <f aca="false">SUM(F37:H37)/3</f>
        <v>4</v>
      </c>
      <c r="J37" s="104"/>
      <c r="K37" s="104"/>
      <c r="R37" s="34"/>
      <c r="CX37" s="35"/>
      <c r="GB37" s="34"/>
      <c r="GC37" s="116"/>
      <c r="GD37" s="116"/>
      <c r="GE37" s="116"/>
      <c r="GF37" s="116"/>
      <c r="GG37" s="116"/>
      <c r="GH37" s="116"/>
      <c r="GJ37" s="1"/>
      <c r="HH37" s="148" t="n">
        <f aca="false">5/5*I$37</f>
        <v>4</v>
      </c>
      <c r="HI37" s="34"/>
      <c r="HN37" s="34"/>
      <c r="AMI37" s="0"/>
      <c r="AMJ37" s="0"/>
    </row>
    <row collapsed="false" customFormat="true" customHeight="true" hidden="false" ht="12.75" outlineLevel="0" r="38" s="4">
      <c r="A38" s="124" t="s">
        <v>321</v>
      </c>
      <c r="B38" s="124"/>
      <c r="C38" s="95" t="n">
        <v>1007</v>
      </c>
      <c r="D38" s="125" t="s">
        <v>322</v>
      </c>
      <c r="E38" s="125"/>
      <c r="F38" s="126" t="n">
        <v>0</v>
      </c>
      <c r="G38" s="126" t="n">
        <f aca="false">4*2</f>
        <v>8</v>
      </c>
      <c r="H38" s="126" t="n">
        <v>0</v>
      </c>
      <c r="I38" s="108" t="n">
        <f aca="false">SUM(F38:H38)/3</f>
        <v>2.66666666666667</v>
      </c>
      <c r="J38" s="104"/>
      <c r="K38" s="104"/>
      <c r="R38" s="34"/>
      <c r="CX38" s="35"/>
      <c r="GB38" s="34"/>
      <c r="GC38" s="116"/>
      <c r="GD38" s="116"/>
      <c r="GE38" s="116"/>
      <c r="GF38" s="116"/>
      <c r="GG38" s="116"/>
      <c r="GH38" s="116"/>
      <c r="GJ38" s="1"/>
      <c r="HH38" s="127" t="n">
        <f aca="false">5/5*I$38</f>
        <v>2.66666666666667</v>
      </c>
      <c r="HI38" s="34"/>
      <c r="HN38" s="34"/>
      <c r="AMI38" s="0"/>
      <c r="AMJ38" s="0"/>
    </row>
    <row collapsed="false" customFormat="false" customHeight="true" hidden="false" ht="12.75" outlineLevel="0" r="39">
      <c r="A39" s="141" t="s">
        <v>323</v>
      </c>
      <c r="B39" s="141"/>
      <c r="C39" s="179" t="n">
        <v>145</v>
      </c>
      <c r="D39" s="143" t="s">
        <v>324</v>
      </c>
      <c r="E39" s="143"/>
      <c r="F39" s="144" t="n">
        <v>0</v>
      </c>
      <c r="G39" s="144" t="n">
        <f aca="false">1.44*2</f>
        <v>2.88</v>
      </c>
      <c r="H39" s="144" t="n">
        <v>0</v>
      </c>
      <c r="I39" s="180" t="n">
        <f aca="false">SUM(F39:H39)/3</f>
        <v>0.96</v>
      </c>
      <c r="J39" s="104"/>
      <c r="K39" s="104"/>
      <c r="AL39" s="181" t="n">
        <f aca="false">I39*1000000*0.01</f>
        <v>9600</v>
      </c>
    </row>
    <row collapsed="false" customFormat="false" customHeight="true" hidden="false" ht="12.75" outlineLevel="0" r="40">
      <c r="A40" s="124" t="s">
        <v>323</v>
      </c>
      <c r="B40" s="124"/>
      <c r="C40" s="95" t="n">
        <v>145</v>
      </c>
      <c r="D40" s="125" t="s">
        <v>324</v>
      </c>
      <c r="E40" s="125"/>
      <c r="F40" s="126" t="n">
        <v>0</v>
      </c>
      <c r="G40" s="126" t="n">
        <f aca="false">0.96*2</f>
        <v>1.92</v>
      </c>
      <c r="H40" s="126" t="n">
        <v>0</v>
      </c>
      <c r="I40" s="108" t="n">
        <f aca="false">SUM(F40:H40)/3</f>
        <v>0.64</v>
      </c>
      <c r="J40" s="104"/>
      <c r="K40" s="104"/>
      <c r="AL40" s="36" t="n">
        <f aca="false">I40*1000000*0.01</f>
        <v>6400</v>
      </c>
    </row>
    <row collapsed="false" customFormat="true" customHeight="true" hidden="false" ht="12.75" outlineLevel="0" r="41" s="4">
      <c r="A41" s="167" t="s">
        <v>325</v>
      </c>
      <c r="B41" s="167"/>
      <c r="C41" s="168" t="n">
        <v>1034</v>
      </c>
      <c r="D41" s="169" t="s">
        <v>326</v>
      </c>
      <c r="E41" s="169"/>
      <c r="F41" s="170" t="n">
        <v>0</v>
      </c>
      <c r="G41" s="170" t="n">
        <f aca="false">2*30*0.6</f>
        <v>36</v>
      </c>
      <c r="H41" s="170" t="n">
        <v>0</v>
      </c>
      <c r="I41" s="180" t="n">
        <f aca="false">SUM(F41:H41)/3</f>
        <v>12</v>
      </c>
      <c r="J41" s="104"/>
      <c r="K41" s="104"/>
      <c r="R41" s="34"/>
      <c r="T41" s="146" t="n">
        <f aca="false">168/15*I41</f>
        <v>134.4</v>
      </c>
      <c r="CX41" s="35"/>
      <c r="GB41" s="34"/>
      <c r="GC41" s="116"/>
      <c r="GD41" s="116"/>
      <c r="GE41" s="116"/>
      <c r="GF41" s="116"/>
      <c r="GG41" s="116"/>
      <c r="GH41" s="116"/>
      <c r="GJ41" s="1"/>
      <c r="HI41" s="34"/>
      <c r="HN41" s="34"/>
      <c r="AMI41" s="0"/>
      <c r="AMJ41" s="0"/>
    </row>
    <row collapsed="false" customFormat="true" customHeight="true" hidden="false" ht="12.75" outlineLevel="0" r="42" s="4">
      <c r="A42" s="167" t="s">
        <v>325</v>
      </c>
      <c r="B42" s="167"/>
      <c r="C42" s="168" t="n">
        <v>1034</v>
      </c>
      <c r="D42" s="169" t="s">
        <v>326</v>
      </c>
      <c r="E42" s="169"/>
      <c r="F42" s="170" t="n">
        <v>0</v>
      </c>
      <c r="G42" s="170" t="n">
        <f aca="false">2*30*0.4</f>
        <v>24</v>
      </c>
      <c r="H42" s="170" t="n">
        <v>0</v>
      </c>
      <c r="I42" s="108" t="n">
        <f aca="false">SUM(F42:H42)/3</f>
        <v>8</v>
      </c>
      <c r="J42" s="104"/>
      <c r="K42" s="104"/>
      <c r="R42" s="34"/>
      <c r="T42" s="127" t="n">
        <f aca="false">168/15*I42</f>
        <v>89.6</v>
      </c>
      <c r="CX42" s="35"/>
      <c r="GB42" s="34"/>
      <c r="GC42" s="116"/>
      <c r="GD42" s="116"/>
      <c r="GE42" s="116"/>
      <c r="GF42" s="116"/>
      <c r="GG42" s="116"/>
      <c r="GH42" s="116"/>
      <c r="GJ42" s="1"/>
      <c r="HI42" s="34"/>
      <c r="HN42" s="34"/>
      <c r="AMI42" s="0"/>
      <c r="AMJ42" s="0"/>
    </row>
    <row collapsed="false" customFormat="true" customHeight="true" hidden="false" ht="12.75" outlineLevel="0" r="43" s="4">
      <c r="A43" s="110" t="s">
        <v>327</v>
      </c>
      <c r="B43" s="110"/>
      <c r="C43" s="111" t="n">
        <v>1037</v>
      </c>
      <c r="D43" s="112" t="s">
        <v>296</v>
      </c>
      <c r="E43" s="112" t="n">
        <v>0</v>
      </c>
      <c r="F43" s="113" t="n">
        <v>0</v>
      </c>
      <c r="G43" s="113" t="n">
        <f aca="false">2*2</f>
        <v>4</v>
      </c>
      <c r="H43" s="113" t="n">
        <v>0</v>
      </c>
      <c r="I43" s="114" t="n">
        <f aca="false">SUM(F43:H43)/3</f>
        <v>1.33333333333333</v>
      </c>
      <c r="J43" s="104"/>
      <c r="K43" s="104"/>
      <c r="R43" s="34"/>
      <c r="T43" s="115"/>
      <c r="CX43" s="35"/>
      <c r="FV43" s="4" t="n">
        <f aca="false">0.2*200*I43</f>
        <v>53.3333333333333</v>
      </c>
      <c r="GB43" s="34"/>
      <c r="GC43" s="116"/>
      <c r="GD43" s="116"/>
      <c r="GE43" s="116"/>
      <c r="GF43" s="116"/>
      <c r="GG43" s="116"/>
      <c r="GH43" s="116"/>
      <c r="HI43" s="34"/>
      <c r="HN43" s="34"/>
      <c r="AMI43" s="182"/>
      <c r="AMJ43" s="182"/>
    </row>
    <row collapsed="false" customFormat="true" customHeight="true" hidden="false" ht="12.75" outlineLevel="0" r="44" s="4">
      <c r="A44" s="124" t="s">
        <v>328</v>
      </c>
      <c r="B44" s="110"/>
      <c r="C44" s="95" t="n">
        <v>12831</v>
      </c>
      <c r="D44" s="125" t="s">
        <v>329</v>
      </c>
      <c r="E44" s="125"/>
      <c r="F44" s="126" t="n">
        <v>0</v>
      </c>
      <c r="G44" s="126" t="n">
        <v>0</v>
      </c>
      <c r="H44" s="126" t="n">
        <v>1</v>
      </c>
      <c r="I44" s="108" t="n">
        <f aca="false">SUM(F44:H44)/3</f>
        <v>0.333333333333333</v>
      </c>
      <c r="J44" s="104"/>
      <c r="K44" s="104"/>
      <c r="R44" s="34"/>
      <c r="T44" s="115"/>
      <c r="CX44" s="35"/>
      <c r="GB44" s="34"/>
      <c r="GC44" s="116"/>
      <c r="GD44" s="116"/>
      <c r="GE44" s="116"/>
      <c r="GF44" s="116"/>
      <c r="GG44" s="116"/>
      <c r="GH44" s="116"/>
      <c r="GJ44" s="1"/>
      <c r="GW44" s="36" t="n">
        <f aca="false">800/2*$I44</f>
        <v>133.333333333333</v>
      </c>
      <c r="HI44" s="34"/>
      <c r="HN44" s="34"/>
      <c r="AMI44" s="0"/>
      <c r="AMJ44" s="0"/>
    </row>
    <row collapsed="false" customFormat="false" customHeight="true" hidden="false" ht="12.75" outlineLevel="0" r="45">
      <c r="A45" s="110" t="s">
        <v>330</v>
      </c>
      <c r="B45" s="110"/>
      <c r="C45" s="111" t="n">
        <v>1438</v>
      </c>
      <c r="D45" s="112" t="s">
        <v>296</v>
      </c>
      <c r="E45" s="112"/>
      <c r="F45" s="113" t="n">
        <v>2</v>
      </c>
      <c r="G45" s="113" t="n">
        <v>2</v>
      </c>
      <c r="H45" s="113" t="n">
        <v>0</v>
      </c>
      <c r="I45" s="114" t="n">
        <f aca="false">SUM(F45:H45)/3</f>
        <v>1.33333333333333</v>
      </c>
      <c r="J45" s="104"/>
      <c r="K45" s="104"/>
      <c r="T45" s="1" t="n">
        <f aca="false">375*$I45</f>
        <v>500</v>
      </c>
      <c r="BG45" s="1" t="n">
        <f aca="false">112*I45</f>
        <v>149.333333333333</v>
      </c>
      <c r="FV45" s="1" t="n">
        <f aca="false">0.45*112*I45</f>
        <v>67.2</v>
      </c>
      <c r="FX45" s="51" t="n">
        <f aca="false">200*$I45</f>
        <v>266.666666666667</v>
      </c>
    </row>
    <row collapsed="false" customFormat="true" customHeight="true" hidden="false" ht="12.75" outlineLevel="0" r="46" s="4">
      <c r="A46" s="128" t="s">
        <v>331</v>
      </c>
      <c r="B46" s="128"/>
      <c r="C46" s="91" t="n">
        <v>1211</v>
      </c>
      <c r="D46" s="129" t="s">
        <v>332</v>
      </c>
      <c r="E46" s="129"/>
      <c r="F46" s="130" t="n">
        <v>2</v>
      </c>
      <c r="G46" s="130" t="n">
        <f aca="false">2*2</f>
        <v>4</v>
      </c>
      <c r="H46" s="130" t="n">
        <v>3</v>
      </c>
      <c r="I46" s="131" t="n">
        <f aca="false">SUM(F46:H46)/3</f>
        <v>3</v>
      </c>
      <c r="J46" s="104"/>
      <c r="K46" s="104"/>
      <c r="R46" s="34"/>
      <c r="AN46" s="148" t="n">
        <f aca="false">3/4*I46</f>
        <v>2.25</v>
      </c>
      <c r="AQ46" s="132" t="n">
        <f aca="false">300/4*I46</f>
        <v>225</v>
      </c>
      <c r="CX46" s="35"/>
      <c r="EN46" s="132" t="n">
        <f aca="false">100/4*$I46</f>
        <v>75</v>
      </c>
      <c r="FV46" s="132" t="n">
        <f aca="false">0.5*100/4*I46</f>
        <v>37.5</v>
      </c>
      <c r="GB46" s="34"/>
      <c r="GC46" s="116"/>
      <c r="GD46" s="116"/>
      <c r="GE46" s="116"/>
      <c r="GF46" s="116"/>
      <c r="GG46" s="116"/>
      <c r="GH46" s="116"/>
      <c r="GJ46" s="1"/>
      <c r="HH46" s="148" t="n">
        <f aca="false">5/4*$I46</f>
        <v>3.75</v>
      </c>
      <c r="HI46" s="34"/>
      <c r="HN46" s="34"/>
      <c r="IS46" s="183" t="n">
        <f aca="false">1000/4*$I46</f>
        <v>750</v>
      </c>
      <c r="AMI46" s="0"/>
      <c r="AMJ46" s="0"/>
    </row>
    <row collapsed="false" customFormat="true" customHeight="true" hidden="false" ht="12.75" outlineLevel="0" r="47" s="4">
      <c r="A47" s="124" t="s">
        <v>331</v>
      </c>
      <c r="B47" s="124"/>
      <c r="C47" s="95" t="n">
        <v>1211</v>
      </c>
      <c r="D47" s="125" t="s">
        <v>332</v>
      </c>
      <c r="E47" s="125"/>
      <c r="F47" s="126" t="n">
        <v>2</v>
      </c>
      <c r="G47" s="126" t="n">
        <f aca="false">2*1</f>
        <v>2</v>
      </c>
      <c r="H47" s="126" t="n">
        <v>3</v>
      </c>
      <c r="I47" s="108" t="n">
        <f aca="false">SUM(F47:H47)/3</f>
        <v>2.33333333333333</v>
      </c>
      <c r="J47" s="104"/>
      <c r="K47" s="104"/>
      <c r="R47" s="34"/>
      <c r="AN47" s="127" t="n">
        <f aca="false">3/4*I47</f>
        <v>1.75</v>
      </c>
      <c r="AQ47" s="36" t="n">
        <f aca="false">300/4*I47</f>
        <v>175</v>
      </c>
      <c r="CX47" s="35"/>
      <c r="EN47" s="36" t="n">
        <f aca="false">100/4*$I47</f>
        <v>58.3333333333333</v>
      </c>
      <c r="FV47" s="36" t="n">
        <f aca="false">0.5*100/4*I47</f>
        <v>29.1666666666667</v>
      </c>
      <c r="GB47" s="34"/>
      <c r="GC47" s="116"/>
      <c r="GD47" s="116"/>
      <c r="GE47" s="116"/>
      <c r="GF47" s="116"/>
      <c r="GG47" s="116"/>
      <c r="GH47" s="116"/>
      <c r="GJ47" s="1"/>
      <c r="HH47" s="127" t="n">
        <f aca="false">5/4*$I47</f>
        <v>2.91666666666667</v>
      </c>
      <c r="HI47" s="34"/>
      <c r="HN47" s="34"/>
      <c r="IS47" s="40" t="n">
        <f aca="false">1000/4*$I47</f>
        <v>583.333333333333</v>
      </c>
      <c r="AMI47" s="0"/>
      <c r="AMJ47" s="0"/>
    </row>
    <row collapsed="false" customFormat="false" customHeight="true" hidden="false" ht="12" outlineLevel="0" r="48">
      <c r="A48" s="110" t="s">
        <v>333</v>
      </c>
      <c r="B48" s="110"/>
      <c r="C48" s="111" t="n">
        <v>1590</v>
      </c>
      <c r="D48" s="112" t="s">
        <v>334</v>
      </c>
      <c r="E48" s="112"/>
      <c r="F48" s="113" t="n">
        <v>0</v>
      </c>
      <c r="G48" s="113" t="n">
        <v>2</v>
      </c>
      <c r="H48" s="113" t="n">
        <v>0</v>
      </c>
      <c r="I48" s="114" t="n">
        <f aca="false">SUM(F48:H48)/3</f>
        <v>0.666666666666667</v>
      </c>
      <c r="J48" s="137"/>
      <c r="K48" s="137"/>
      <c r="S48" s="51"/>
      <c r="T48" s="51"/>
      <c r="U48" s="51"/>
      <c r="Y48" s="51"/>
      <c r="Z48" s="51"/>
      <c r="AA48" s="51"/>
      <c r="AB48" s="51"/>
      <c r="AC48" s="51"/>
      <c r="AD48" s="115"/>
      <c r="AE48" s="51"/>
      <c r="AF48" s="51"/>
      <c r="AG48" s="51"/>
      <c r="AQ48" s="115" t="n">
        <f aca="false">0*$I48</f>
        <v>0</v>
      </c>
      <c r="AR48" s="115"/>
      <c r="BB48" s="115" t="n">
        <f aca="false">100*$I48</f>
        <v>66.6666666666667</v>
      </c>
      <c r="BC48" s="51"/>
      <c r="BH48" s="1" t="n">
        <f aca="false">0.2*$I48</f>
        <v>0.133333333333333</v>
      </c>
      <c r="CQ48" s="115" t="n">
        <f aca="false">0*$I48</f>
        <v>0</v>
      </c>
      <c r="CR48" s="51"/>
      <c r="CS48" s="51"/>
      <c r="CT48" s="51"/>
      <c r="CU48" s="51"/>
      <c r="DB48" s="115" t="n">
        <f aca="false">120*$I48</f>
        <v>80</v>
      </c>
      <c r="EI48" s="115" t="n">
        <f aca="false">2*$I48</f>
        <v>1.33333333333333</v>
      </c>
      <c r="EJ48" s="115"/>
      <c r="EK48" s="115"/>
      <c r="EL48" s="115" t="n">
        <f aca="false">10*$I48</f>
        <v>6.66666666666667</v>
      </c>
      <c r="EM48" s="115"/>
      <c r="GZ48" s="115" t="n">
        <f aca="false">0*$I48</f>
        <v>0</v>
      </c>
      <c r="HA48" s="115" t="n">
        <f aca="false">67*$I48</f>
        <v>44.6666666666667</v>
      </c>
      <c r="HB48" s="115" t="n">
        <f aca="false">67*$I48</f>
        <v>44.6666666666667</v>
      </c>
      <c r="HC48" s="115" t="n">
        <f aca="false">67*$I48</f>
        <v>44.6666666666667</v>
      </c>
      <c r="HE48" s="115" t="n">
        <f aca="false">20*I48</f>
        <v>13.3333333333333</v>
      </c>
      <c r="IM48" s="4" t="n">
        <f aca="false">300*$I48</f>
        <v>200</v>
      </c>
      <c r="IN48" s="4"/>
      <c r="IO48" s="4"/>
      <c r="IP48" s="4"/>
      <c r="IQ48" s="4" t="n">
        <f aca="false">95*$I48</f>
        <v>63.3333333333333</v>
      </c>
      <c r="IR48" s="115" t="n">
        <f aca="false">0*$I48</f>
        <v>0</v>
      </c>
      <c r="IS48" s="4"/>
      <c r="IT48" s="4"/>
      <c r="IU48" s="115" t="n">
        <f aca="false">45*$I48</f>
        <v>30</v>
      </c>
      <c r="IV48" s="115" t="n">
        <f aca="false">((244.2-215)/2+215)*$I48</f>
        <v>153.066666666667</v>
      </c>
      <c r="IW48" s="115" t="n">
        <f aca="false">((125.7-89.8)/2+89.8)*$I48</f>
        <v>71.8333333333333</v>
      </c>
      <c r="IX48" s="4" t="n">
        <f aca="false">((7.2-0)/2+0)*$I48</f>
        <v>2.4</v>
      </c>
      <c r="IY48" s="4"/>
      <c r="IZ48" s="4"/>
      <c r="JA48" s="4"/>
      <c r="JB48" s="4"/>
      <c r="JC48" s="34" t="n">
        <f aca="false">1*$I48*1000</f>
        <v>666.666666666667</v>
      </c>
      <c r="JD48" s="34" t="n">
        <f aca="false">(1+0.1)*$I48*1000</f>
        <v>733.333333333333</v>
      </c>
      <c r="JE48" s="1"/>
      <c r="JF48" s="1"/>
      <c r="JG48" s="1"/>
      <c r="JH48" s="1"/>
      <c r="JI48" s="1"/>
      <c r="JJ48" s="1"/>
      <c r="JK48" s="1"/>
      <c r="JL48" s="51" t="n">
        <f aca="false">10*$I48</f>
        <v>6.66666666666667</v>
      </c>
    </row>
    <row collapsed="false" customFormat="true" customHeight="true" hidden="false" ht="12.75" outlineLevel="0" r="49" s="4">
      <c r="A49" s="184" t="s">
        <v>335</v>
      </c>
      <c r="B49" s="110"/>
      <c r="C49" s="111" t="n">
        <v>984</v>
      </c>
      <c r="D49" s="112" t="s">
        <v>336</v>
      </c>
      <c r="E49" s="112"/>
      <c r="F49" s="113" t="n">
        <f aca="false">2*2</f>
        <v>4</v>
      </c>
      <c r="G49" s="113" t="n">
        <v>0</v>
      </c>
      <c r="H49" s="113" t="n">
        <v>0</v>
      </c>
      <c r="I49" s="114" t="n">
        <f aca="false">SUM(F49:H49)/3</f>
        <v>1.33333333333333</v>
      </c>
      <c r="J49" s="104"/>
      <c r="K49" s="104"/>
      <c r="R49" s="34"/>
      <c r="CX49" s="35"/>
      <c r="FV49" s="4" t="n">
        <f aca="false">0.85*150/2*$I49</f>
        <v>85</v>
      </c>
      <c r="FX49" s="115" t="n">
        <f aca="false">50/2*I49</f>
        <v>33.3333333333333</v>
      </c>
      <c r="GB49" s="34"/>
      <c r="GC49" s="116"/>
      <c r="GD49" s="116"/>
      <c r="GE49" s="116"/>
      <c r="GF49" s="116"/>
      <c r="GG49" s="116"/>
      <c r="GH49" s="116"/>
      <c r="GJ49" s="1"/>
      <c r="HI49" s="34"/>
      <c r="HN49" s="34"/>
      <c r="AMI49" s="0"/>
      <c r="AMJ49" s="0"/>
    </row>
    <row collapsed="false" customFormat="true" customHeight="true" hidden="false" ht="12.75" outlineLevel="0" r="50" s="4">
      <c r="A50" s="184" t="s">
        <v>337</v>
      </c>
      <c r="B50" s="110"/>
      <c r="C50" s="111" t="n">
        <v>1253</v>
      </c>
      <c r="D50" s="112" t="s">
        <v>338</v>
      </c>
      <c r="E50" s="112" t="n">
        <v>0</v>
      </c>
      <c r="F50" s="113" t="n">
        <v>0</v>
      </c>
      <c r="G50" s="113" t="n">
        <f aca="false">4*2</f>
        <v>8</v>
      </c>
      <c r="H50" s="113" t="n">
        <v>0</v>
      </c>
      <c r="I50" s="114" t="n">
        <f aca="false">SUM(F50:H50)/3</f>
        <v>2.66666666666667</v>
      </c>
      <c r="J50" s="104"/>
      <c r="K50" s="104"/>
      <c r="R50" s="34"/>
      <c r="CX50" s="35"/>
      <c r="EC50" s="4" t="n">
        <f aca="false">600/4*$I50</f>
        <v>400</v>
      </c>
      <c r="ED50" s="4" t="n">
        <f aca="false">1200/4*$I50</f>
        <v>800</v>
      </c>
      <c r="FX50" s="115"/>
      <c r="GB50" s="34"/>
      <c r="GC50" s="116"/>
      <c r="GD50" s="116"/>
      <c r="GE50" s="116"/>
      <c r="GF50" s="116"/>
      <c r="GG50" s="116"/>
      <c r="GH50" s="116"/>
      <c r="GJ50" s="1"/>
      <c r="HI50" s="34"/>
      <c r="HN50" s="34"/>
      <c r="HX50" s="4" t="n">
        <f aca="false">600/4*$I50</f>
        <v>400</v>
      </c>
      <c r="AMI50" s="0"/>
      <c r="AMJ50" s="0"/>
    </row>
    <row collapsed="false" customFormat="true" customHeight="true" hidden="false" ht="12.75" outlineLevel="0" r="51" s="4">
      <c r="A51" s="124" t="s">
        <v>339</v>
      </c>
      <c r="B51" s="124"/>
      <c r="C51" s="95" t="n">
        <v>999</v>
      </c>
      <c r="D51" s="125" t="s">
        <v>296</v>
      </c>
      <c r="E51" s="125"/>
      <c r="F51" s="126" t="n">
        <v>2</v>
      </c>
      <c r="G51" s="126" t="n">
        <v>2</v>
      </c>
      <c r="H51" s="126" t="n">
        <v>0</v>
      </c>
      <c r="I51" s="108" t="n">
        <f aca="false">SUM(F51:H51)/3</f>
        <v>1.33333333333333</v>
      </c>
      <c r="J51" s="104"/>
      <c r="K51" s="104"/>
      <c r="R51" s="34"/>
      <c r="AO51" s="127" t="n">
        <f aca="false">550/2*I51</f>
        <v>366.666666666667</v>
      </c>
      <c r="AQ51" s="36" t="n">
        <f aca="false">16.5/2*I51</f>
        <v>11</v>
      </c>
      <c r="BZ51" s="127" t="n">
        <f aca="false">14/2*I51</f>
        <v>9.33333333333333</v>
      </c>
      <c r="CA51" s="115"/>
      <c r="CX51" s="35"/>
      <c r="DE51" s="127" t="n">
        <f aca="false">(408/448*137.5)/2*I51</f>
        <v>83.4821428571429</v>
      </c>
      <c r="DU51" s="127" t="n">
        <f aca="false">100/2*I51</f>
        <v>66.6666666666667</v>
      </c>
      <c r="DY51" s="127" t="n">
        <f aca="false">2/2*I51</f>
        <v>1.33333333333333</v>
      </c>
      <c r="FD51" s="127" t="n">
        <f aca="false">25/2*I51</f>
        <v>16.6666666666667</v>
      </c>
      <c r="GB51" s="34"/>
      <c r="GC51" s="116"/>
      <c r="GD51" s="116"/>
      <c r="GE51" s="116"/>
      <c r="GF51" s="116"/>
      <c r="GG51" s="116"/>
      <c r="GH51" s="116"/>
      <c r="GJ51" s="1"/>
      <c r="HI51" s="34"/>
      <c r="HM51" s="127" t="n">
        <f aca="false">111.5/2*I51</f>
        <v>74.3333333333333</v>
      </c>
      <c r="HN51" s="40"/>
      <c r="IS51" s="127" t="n">
        <f aca="false">1000/2*I51</f>
        <v>666.666666666667</v>
      </c>
      <c r="AMI51" s="0"/>
      <c r="AMJ51" s="0"/>
    </row>
    <row collapsed="false" customFormat="true" customHeight="true" hidden="false" ht="12.75" outlineLevel="0" r="52" s="4">
      <c r="A52" s="110" t="s">
        <v>340</v>
      </c>
      <c r="B52" s="110"/>
      <c r="C52" s="111" t="n">
        <v>1203</v>
      </c>
      <c r="D52" s="112" t="s">
        <v>336</v>
      </c>
      <c r="E52" s="112"/>
      <c r="F52" s="113" t="n">
        <v>2</v>
      </c>
      <c r="G52" s="113" t="n">
        <v>0</v>
      </c>
      <c r="H52" s="113" t="n">
        <v>3</v>
      </c>
      <c r="I52" s="114" t="n">
        <f aca="false">SUM(F52:H52)/3</f>
        <v>1.66666666666667</v>
      </c>
      <c r="J52" s="104"/>
      <c r="K52" s="104"/>
      <c r="R52" s="34"/>
      <c r="AP52" s="115" t="n">
        <f aca="false">500*I52</f>
        <v>833.333333333333</v>
      </c>
      <c r="CX52" s="35"/>
      <c r="GB52" s="34"/>
      <c r="GC52" s="116"/>
      <c r="GD52" s="116"/>
      <c r="GE52" s="116"/>
      <c r="GF52" s="116"/>
      <c r="GG52" s="116"/>
      <c r="GH52" s="116"/>
      <c r="GJ52" s="1"/>
      <c r="HI52" s="34"/>
      <c r="HN52" s="34"/>
      <c r="AMI52" s="0"/>
      <c r="AMJ52" s="0"/>
    </row>
    <row collapsed="false" customFormat="false" customHeight="true" hidden="false" ht="12.75" outlineLevel="0" r="53">
      <c r="A53" s="141" t="s">
        <v>341</v>
      </c>
      <c r="B53" s="141"/>
      <c r="C53" s="179" t="n">
        <v>21259</v>
      </c>
      <c r="D53" s="143" t="s">
        <v>342</v>
      </c>
      <c r="E53" s="143"/>
      <c r="F53" s="144" t="n">
        <f aca="false">2*2</f>
        <v>4</v>
      </c>
      <c r="G53" s="144" t="n">
        <f aca="false">2*2</f>
        <v>4</v>
      </c>
      <c r="H53" s="144" t="n">
        <v>0</v>
      </c>
      <c r="I53" s="102" t="n">
        <f aca="false">SUM(F53:H53)/3</f>
        <v>2.66666666666667</v>
      </c>
      <c r="J53" s="137"/>
      <c r="K53" s="137"/>
      <c r="AA53" s="4"/>
      <c r="AB53" s="4"/>
      <c r="AC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Q53" s="146" t="n">
        <f aca="false">270/2*I53</f>
        <v>360</v>
      </c>
      <c r="EI53" s="4"/>
      <c r="EJ53" s="4"/>
      <c r="EK53" s="4"/>
      <c r="EL53" s="4"/>
      <c r="EM53" s="4"/>
      <c r="EN53" s="4"/>
      <c r="EO53" s="4"/>
      <c r="EP53" s="4"/>
      <c r="GK53" s="147" t="n">
        <f aca="false">1230/2*I53</f>
        <v>1640</v>
      </c>
    </row>
    <row collapsed="false" customFormat="false" customHeight="true" hidden="false" ht="12.75" outlineLevel="0" r="54">
      <c r="A54" s="124" t="s">
        <v>341</v>
      </c>
      <c r="B54" s="124"/>
      <c r="C54" s="95" t="n">
        <v>21259</v>
      </c>
      <c r="D54" s="125" t="s">
        <v>342</v>
      </c>
      <c r="E54" s="125"/>
      <c r="F54" s="126" t="n">
        <f aca="false">2</f>
        <v>2</v>
      </c>
      <c r="G54" s="126" t="n">
        <f aca="false">2*2</f>
        <v>4</v>
      </c>
      <c r="H54" s="126" t="n">
        <v>0</v>
      </c>
      <c r="I54" s="108" t="n">
        <f aca="false">SUM(F54:H54)/3</f>
        <v>2</v>
      </c>
      <c r="J54" s="137"/>
      <c r="K54" s="137"/>
      <c r="AA54" s="4"/>
      <c r="AB54" s="4"/>
      <c r="AC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Q54" s="36" t="n">
        <f aca="false">270/2*I54</f>
        <v>270</v>
      </c>
      <c r="EI54" s="4"/>
      <c r="EJ54" s="4"/>
      <c r="EK54" s="4"/>
      <c r="EL54" s="4"/>
      <c r="EM54" s="4"/>
      <c r="EN54" s="4"/>
      <c r="EO54" s="4"/>
      <c r="EP54" s="4"/>
      <c r="GK54" s="36" t="n">
        <f aca="false">1230/2*I54</f>
        <v>1230</v>
      </c>
    </row>
    <row collapsed="false" customFormat="true" customHeight="true" hidden="false" ht="12.75" outlineLevel="0" r="55" s="178">
      <c r="A55" s="167" t="s">
        <v>343</v>
      </c>
      <c r="B55" s="167"/>
      <c r="C55" s="168" t="n">
        <v>1493</v>
      </c>
      <c r="D55" s="169" t="s">
        <v>344</v>
      </c>
      <c r="E55" s="169"/>
      <c r="F55" s="170" t="n">
        <f aca="false">(6.7*2)*3/5*0</f>
        <v>0</v>
      </c>
      <c r="G55" s="170" t="n">
        <v>0</v>
      </c>
      <c r="H55" s="170" t="n">
        <v>0</v>
      </c>
      <c r="I55" s="171" t="n">
        <f aca="false">SUM(F55:H55)</f>
        <v>0</v>
      </c>
      <c r="J55" s="185"/>
      <c r="K55" s="185"/>
      <c r="L55" s="173"/>
      <c r="M55" s="173"/>
      <c r="N55" s="173"/>
      <c r="O55" s="173"/>
      <c r="P55" s="173"/>
      <c r="Q55" s="173"/>
      <c r="R55" s="174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5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 t="n">
        <f aca="false">445/6.7*I55</f>
        <v>0</v>
      </c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4"/>
      <c r="GC55" s="176"/>
      <c r="GD55" s="176"/>
      <c r="GE55" s="176" t="n">
        <f aca="false">2000/6.7*I55</f>
        <v>0</v>
      </c>
      <c r="GF55" s="176"/>
      <c r="GG55" s="176"/>
      <c r="GH55" s="176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4"/>
      <c r="HJ55" s="173"/>
      <c r="HK55" s="173"/>
      <c r="HL55" s="173"/>
      <c r="HM55" s="173"/>
      <c r="HN55" s="174"/>
      <c r="HO55" s="173"/>
      <c r="HP55" s="173"/>
      <c r="HQ55" s="173"/>
      <c r="HR55" s="173"/>
      <c r="HS55" s="173"/>
      <c r="HT55" s="173"/>
      <c r="HU55" s="173"/>
      <c r="HV55" s="173"/>
      <c r="HW55" s="173"/>
      <c r="HX55" s="173"/>
      <c r="HY55" s="173"/>
      <c r="HZ55" s="173"/>
      <c r="IA55" s="173"/>
      <c r="IB55" s="173"/>
      <c r="IC55" s="173"/>
      <c r="ID55" s="173"/>
      <c r="IE55" s="173"/>
      <c r="IF55" s="173"/>
      <c r="IG55" s="173"/>
      <c r="IH55" s="173"/>
      <c r="II55" s="173"/>
      <c r="IJ55" s="173"/>
      <c r="IK55" s="173"/>
      <c r="IL55" s="173"/>
      <c r="IM55" s="173"/>
      <c r="IN55" s="173"/>
      <c r="IO55" s="173"/>
      <c r="IP55" s="173"/>
      <c r="IQ55" s="173"/>
      <c r="IR55" s="173"/>
      <c r="IS55" s="173"/>
      <c r="IT55" s="173"/>
      <c r="IU55" s="173"/>
      <c r="IV55" s="173"/>
      <c r="IW55" s="173"/>
      <c r="IX55" s="173"/>
      <c r="IY55" s="173"/>
      <c r="IZ55" s="173"/>
      <c r="JA55" s="173"/>
      <c r="JB55" s="173"/>
      <c r="JC55" s="173"/>
      <c r="JD55" s="173"/>
      <c r="AMI55" s="0"/>
      <c r="AMJ55" s="0"/>
    </row>
    <row collapsed="false" customFormat="true" customHeight="true" hidden="false" ht="12.75" outlineLevel="0" r="56" s="178">
      <c r="A56" s="167" t="s">
        <v>343</v>
      </c>
      <c r="B56" s="167"/>
      <c r="C56" s="168" t="n">
        <v>1493</v>
      </c>
      <c r="D56" s="169" t="s">
        <v>344</v>
      </c>
      <c r="E56" s="169"/>
      <c r="F56" s="170" t="n">
        <f aca="false">(6.7*2)*2/5*0</f>
        <v>0</v>
      </c>
      <c r="G56" s="170" t="n">
        <v>0</v>
      </c>
      <c r="H56" s="170" t="n">
        <v>0</v>
      </c>
      <c r="I56" s="171" t="n">
        <f aca="false">SUM(F56:H56)</f>
        <v>0</v>
      </c>
      <c r="J56" s="185"/>
      <c r="K56" s="185"/>
      <c r="L56" s="173"/>
      <c r="M56" s="173"/>
      <c r="N56" s="173"/>
      <c r="O56" s="173"/>
      <c r="P56" s="173"/>
      <c r="Q56" s="173"/>
      <c r="R56" s="174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5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 t="n">
        <f aca="false">445/6.7*I56</f>
        <v>0</v>
      </c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4"/>
      <c r="GC56" s="176"/>
      <c r="GD56" s="176"/>
      <c r="GE56" s="176" t="n">
        <f aca="false">2000/6.7*I56</f>
        <v>0</v>
      </c>
      <c r="GF56" s="176"/>
      <c r="GG56" s="176"/>
      <c r="GH56" s="176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4"/>
      <c r="HJ56" s="173"/>
      <c r="HK56" s="173"/>
      <c r="HL56" s="173"/>
      <c r="HM56" s="173"/>
      <c r="HN56" s="174"/>
      <c r="HO56" s="173"/>
      <c r="HP56" s="173"/>
      <c r="HQ56" s="173"/>
      <c r="HR56" s="173"/>
      <c r="HS56" s="173"/>
      <c r="HT56" s="173"/>
      <c r="HU56" s="173"/>
      <c r="HV56" s="173"/>
      <c r="HW56" s="173"/>
      <c r="HX56" s="173"/>
      <c r="HY56" s="173"/>
      <c r="HZ56" s="173"/>
      <c r="IA56" s="173"/>
      <c r="IB56" s="173"/>
      <c r="IC56" s="173"/>
      <c r="ID56" s="173"/>
      <c r="IE56" s="173"/>
      <c r="IF56" s="173"/>
      <c r="IG56" s="173"/>
      <c r="IH56" s="173"/>
      <c r="II56" s="173"/>
      <c r="IJ56" s="173"/>
      <c r="IK56" s="173"/>
      <c r="IL56" s="173"/>
      <c r="IM56" s="173"/>
      <c r="IN56" s="173"/>
      <c r="IO56" s="173"/>
      <c r="IP56" s="173"/>
      <c r="IQ56" s="173"/>
      <c r="IR56" s="173"/>
      <c r="IS56" s="173"/>
      <c r="IT56" s="173"/>
      <c r="IU56" s="173"/>
      <c r="IV56" s="173"/>
      <c r="IW56" s="173"/>
      <c r="IX56" s="173"/>
      <c r="IY56" s="173"/>
      <c r="IZ56" s="173"/>
      <c r="JA56" s="173"/>
      <c r="JB56" s="173"/>
      <c r="JC56" s="173"/>
      <c r="JD56" s="173"/>
      <c r="AMI56" s="0"/>
      <c r="AMJ56" s="0"/>
    </row>
    <row collapsed="false" customFormat="true" customHeight="true" hidden="false" ht="12.75" outlineLevel="0" r="57" s="4">
      <c r="A57" s="128" t="s">
        <v>345</v>
      </c>
      <c r="B57" s="128"/>
      <c r="C57" s="91" t="n">
        <v>1429</v>
      </c>
      <c r="D57" s="129" t="s">
        <v>277</v>
      </c>
      <c r="E57" s="129"/>
      <c r="F57" s="130" t="n">
        <v>0</v>
      </c>
      <c r="G57" s="130" t="n">
        <f aca="false">1</f>
        <v>1</v>
      </c>
      <c r="H57" s="130" t="n">
        <v>0</v>
      </c>
      <c r="I57" s="131" t="n">
        <f aca="false">SUM(F57:H57)/3</f>
        <v>0.333333333333333</v>
      </c>
      <c r="J57" s="104"/>
      <c r="K57" s="104"/>
      <c r="R57" s="34"/>
      <c r="CL57" s="132" t="n">
        <f aca="false">48/2*$I57</f>
        <v>8</v>
      </c>
      <c r="CX57" s="35"/>
      <c r="GB57" s="34"/>
      <c r="GC57" s="116"/>
      <c r="GD57" s="116"/>
      <c r="GE57" s="116"/>
      <c r="GF57" s="186" t="n">
        <f aca="false">3/2*$I57</f>
        <v>0.5</v>
      </c>
      <c r="GG57" s="116"/>
      <c r="GH57" s="116"/>
      <c r="GJ57" s="1"/>
      <c r="GL57" s="132" t="n">
        <f aca="false">150/2*$I57</f>
        <v>25</v>
      </c>
      <c r="GN57" s="132" t="n">
        <f aca="false">250/2*$I57</f>
        <v>41.6666666666667</v>
      </c>
      <c r="HI57" s="34"/>
      <c r="HN57" s="34"/>
      <c r="AMI57" s="0"/>
      <c r="AMJ57" s="0"/>
    </row>
    <row collapsed="false" customFormat="true" customHeight="true" hidden="false" ht="12.75" outlineLevel="0" r="58" s="4">
      <c r="A58" s="124" t="s">
        <v>345</v>
      </c>
      <c r="B58" s="124"/>
      <c r="C58" s="95" t="n">
        <v>1429</v>
      </c>
      <c r="D58" s="125" t="s">
        <v>277</v>
      </c>
      <c r="E58" s="125"/>
      <c r="F58" s="126" t="n">
        <v>0</v>
      </c>
      <c r="G58" s="126" t="n">
        <f aca="false">1</f>
        <v>1</v>
      </c>
      <c r="H58" s="126" t="n">
        <v>0</v>
      </c>
      <c r="I58" s="108" t="n">
        <f aca="false">SUM(F58:H58)/3</f>
        <v>0.333333333333333</v>
      </c>
      <c r="J58" s="104"/>
      <c r="K58" s="104"/>
      <c r="R58" s="34"/>
      <c r="CL58" s="36" t="n">
        <f aca="false">48/2*$I58</f>
        <v>8</v>
      </c>
      <c r="CX58" s="35"/>
      <c r="GB58" s="34"/>
      <c r="GC58" s="116"/>
      <c r="GD58" s="116"/>
      <c r="GE58" s="116"/>
      <c r="GF58" s="187" t="n">
        <f aca="false">3/2*$I58</f>
        <v>0.5</v>
      </c>
      <c r="GG58" s="116"/>
      <c r="GH58" s="116"/>
      <c r="GJ58" s="1"/>
      <c r="GL58" s="36" t="n">
        <f aca="false">150/2*$I58</f>
        <v>25</v>
      </c>
      <c r="GN58" s="36" t="n">
        <f aca="false">250/2*$I58</f>
        <v>41.6666666666667</v>
      </c>
      <c r="HI58" s="34"/>
      <c r="HN58" s="34"/>
      <c r="AMI58" s="0"/>
      <c r="AMJ58" s="0"/>
    </row>
    <row collapsed="false" customFormat="true" customHeight="true" hidden="false" ht="12.95" outlineLevel="0" r="59" s="4">
      <c r="A59" s="110" t="s">
        <v>346</v>
      </c>
      <c r="B59" s="110"/>
      <c r="C59" s="111" t="n">
        <v>1287</v>
      </c>
      <c r="D59" s="112" t="s">
        <v>347</v>
      </c>
      <c r="E59" s="112"/>
      <c r="F59" s="113" t="n">
        <v>0</v>
      </c>
      <c r="G59" s="113" t="n">
        <v>0</v>
      </c>
      <c r="H59" s="113" t="n">
        <v>3</v>
      </c>
      <c r="I59" s="114" t="n">
        <f aca="false">SUM(F59:H59)/3</f>
        <v>1</v>
      </c>
      <c r="J59" s="104"/>
      <c r="K59" s="104"/>
      <c r="R59" s="34"/>
      <c r="AW59" s="4" t="n">
        <f aca="false">500*$I59</f>
        <v>500</v>
      </c>
      <c r="CX59" s="35"/>
      <c r="EJ59" s="4" t="n">
        <f aca="false">4*$I59</f>
        <v>4</v>
      </c>
      <c r="EN59" s="115"/>
      <c r="EO59" s="115"/>
      <c r="FY59" s="188"/>
      <c r="GB59" s="34"/>
      <c r="GC59" s="116"/>
      <c r="GD59" s="116"/>
      <c r="GE59" s="116"/>
      <c r="GF59" s="116"/>
      <c r="GG59" s="116"/>
      <c r="GH59" s="116"/>
      <c r="GJ59" s="1"/>
      <c r="HI59" s="34"/>
      <c r="HN59" s="34"/>
      <c r="HO59" s="4" t="n">
        <f aca="false">0*$I59</f>
        <v>0</v>
      </c>
      <c r="IC59" s="4" t="n">
        <f aca="false">50*$I59</f>
        <v>50</v>
      </c>
      <c r="ID59" s="4" t="n">
        <f aca="false">50*$I59</f>
        <v>50</v>
      </c>
      <c r="IQ59" s="188"/>
      <c r="AMI59" s="0"/>
      <c r="AMJ59" s="0"/>
    </row>
    <row collapsed="false" customFormat="true" customHeight="true" hidden="false" ht="12.75" outlineLevel="0" r="60" s="4">
      <c r="A60" s="110" t="s">
        <v>348</v>
      </c>
      <c r="B60" s="110"/>
      <c r="C60" s="111" t="n">
        <v>958</v>
      </c>
      <c r="D60" s="112" t="s">
        <v>296</v>
      </c>
      <c r="E60" s="112"/>
      <c r="F60" s="113" t="n">
        <v>2</v>
      </c>
      <c r="G60" s="113" t="n">
        <v>2</v>
      </c>
      <c r="H60" s="113" t="n">
        <v>0</v>
      </c>
      <c r="I60" s="114" t="n">
        <f aca="false">SUM(F60:H60)/3</f>
        <v>1.33333333333333</v>
      </c>
      <c r="J60" s="104"/>
      <c r="K60" s="104"/>
      <c r="R60" s="34"/>
      <c r="AW60" s="115" t="n">
        <f aca="false">(25-6)*$I60</f>
        <v>25.3333333333333</v>
      </c>
      <c r="CS60" s="4" t="n">
        <f aca="false">375*$I60</f>
        <v>500</v>
      </c>
      <c r="CX60" s="35"/>
      <c r="EF60" s="115" t="n">
        <f aca="false">250*$I60</f>
        <v>333.333333333333</v>
      </c>
      <c r="GB60" s="34"/>
      <c r="GC60" s="116"/>
      <c r="GD60" s="116"/>
      <c r="GE60" s="116"/>
      <c r="GF60" s="116"/>
      <c r="GG60" s="116"/>
      <c r="GH60" s="116"/>
      <c r="GJ60" s="1"/>
      <c r="HI60" s="34"/>
      <c r="HN60" s="34"/>
      <c r="JL60" s="4" t="n">
        <f aca="false">6*$I60</f>
        <v>8</v>
      </c>
      <c r="AMI60" s="0"/>
      <c r="AMJ60" s="0"/>
    </row>
    <row collapsed="false" customFormat="true" customHeight="true" hidden="false" ht="12.75" outlineLevel="0" r="61" s="4">
      <c r="A61" s="110" t="s">
        <v>349</v>
      </c>
      <c r="B61" s="110"/>
      <c r="C61" s="111" t="n">
        <v>12135</v>
      </c>
      <c r="D61" s="112" t="s">
        <v>350</v>
      </c>
      <c r="E61" s="112"/>
      <c r="F61" s="113" t="n">
        <v>0</v>
      </c>
      <c r="G61" s="113" t="n">
        <v>2</v>
      </c>
      <c r="H61" s="113" t="n">
        <v>0</v>
      </c>
      <c r="I61" s="114" t="n">
        <f aca="false">SUM(F61:H61)/3</f>
        <v>0.666666666666667</v>
      </c>
      <c r="J61" s="104"/>
      <c r="K61" s="104"/>
      <c r="R61" s="34"/>
      <c r="AX61" s="115" t="n">
        <f aca="false">1000*I61</f>
        <v>666.666666666667</v>
      </c>
      <c r="CX61" s="35"/>
      <c r="GB61" s="34"/>
      <c r="GC61" s="116"/>
      <c r="GD61" s="116"/>
      <c r="GE61" s="116"/>
      <c r="GF61" s="116"/>
      <c r="GG61" s="116"/>
      <c r="GH61" s="116"/>
      <c r="GJ61" s="1"/>
      <c r="HI61" s="34"/>
      <c r="HN61" s="34"/>
      <c r="AMI61" s="0"/>
      <c r="AMJ61" s="0"/>
    </row>
    <row collapsed="false" customFormat="true" customHeight="true" hidden="false" ht="12.75" outlineLevel="0" r="62" s="4">
      <c r="A62" s="128" t="s">
        <v>351</v>
      </c>
      <c r="B62" s="128"/>
      <c r="C62" s="91" t="n">
        <v>1502</v>
      </c>
      <c r="D62" s="129" t="s">
        <v>352</v>
      </c>
      <c r="E62" s="129"/>
      <c r="F62" s="130" t="n">
        <v>0</v>
      </c>
      <c r="G62" s="130" t="n">
        <f aca="false">2*2</f>
        <v>4</v>
      </c>
      <c r="H62" s="130" t="n">
        <v>0</v>
      </c>
      <c r="I62" s="131" t="n">
        <f aca="false">SUM(F62:H62)/3</f>
        <v>1.33333333333333</v>
      </c>
      <c r="J62" s="104"/>
      <c r="K62" s="104"/>
      <c r="R62" s="34"/>
      <c r="AX62" s="115"/>
      <c r="CX62" s="35"/>
      <c r="GB62" s="34"/>
      <c r="GC62" s="116"/>
      <c r="GD62" s="116"/>
      <c r="GE62" s="116"/>
      <c r="GF62" s="116"/>
      <c r="GG62" s="116"/>
      <c r="GH62" s="116"/>
      <c r="GJ62" s="1"/>
      <c r="HI62" s="34"/>
      <c r="HN62" s="34"/>
      <c r="AMI62" s="0"/>
      <c r="AMJ62" s="0"/>
    </row>
    <row collapsed="false" customFormat="true" customHeight="true" hidden="false" ht="12.75" outlineLevel="0" r="63" s="4">
      <c r="A63" s="124" t="s">
        <v>351</v>
      </c>
      <c r="B63" s="124"/>
      <c r="C63" s="95" t="n">
        <v>1502</v>
      </c>
      <c r="D63" s="125" t="s">
        <v>352</v>
      </c>
      <c r="E63" s="125"/>
      <c r="F63" s="126" t="n">
        <v>0</v>
      </c>
      <c r="G63" s="126" t="n">
        <f aca="false">1*2</f>
        <v>2</v>
      </c>
      <c r="H63" s="126" t="n">
        <v>0</v>
      </c>
      <c r="I63" s="108" t="n">
        <f aca="false">SUM(F63:H63)/3</f>
        <v>0.666666666666667</v>
      </c>
      <c r="J63" s="104"/>
      <c r="K63" s="104"/>
      <c r="R63" s="34"/>
      <c r="AX63" s="115"/>
      <c r="CX63" s="35"/>
      <c r="GB63" s="34"/>
      <c r="GC63" s="116"/>
      <c r="GD63" s="116"/>
      <c r="GE63" s="116"/>
      <c r="GF63" s="116"/>
      <c r="GG63" s="116"/>
      <c r="GH63" s="116"/>
      <c r="GJ63" s="1"/>
      <c r="HI63" s="34"/>
      <c r="HN63" s="34"/>
      <c r="AMI63" s="0"/>
      <c r="AMJ63" s="0"/>
    </row>
    <row collapsed="false" customFormat="false" customHeight="true" hidden="false" ht="12.75" outlineLevel="0" r="64">
      <c r="A64" s="118" t="s">
        <v>353</v>
      </c>
      <c r="B64" s="118"/>
      <c r="C64" s="119" t="n">
        <v>1538</v>
      </c>
      <c r="D64" s="120" t="s">
        <v>354</v>
      </c>
      <c r="E64" s="120"/>
      <c r="F64" s="121" t="n">
        <v>0</v>
      </c>
      <c r="G64" s="121" t="n">
        <f aca="false">2*2</f>
        <v>4</v>
      </c>
      <c r="H64" s="121" t="n">
        <v>0</v>
      </c>
      <c r="I64" s="102" t="n">
        <f aca="false">SUM(F64:H64)/3</f>
        <v>1.33333333333333</v>
      </c>
      <c r="J64" s="137"/>
      <c r="K64" s="137"/>
      <c r="BB64" s="122" t="n">
        <f aca="false">100*I64</f>
        <v>133.333333333333</v>
      </c>
      <c r="BI64" s="122" t="n">
        <f aca="false">0*I64</f>
        <v>0</v>
      </c>
      <c r="BJ64" s="115"/>
      <c r="JL64" s="122" t="n">
        <f aca="false">10*$I64</f>
        <v>13.3333333333333</v>
      </c>
    </row>
    <row collapsed="false" customFormat="false" customHeight="true" hidden="false" ht="12.75" outlineLevel="0" r="65">
      <c r="A65" s="124" t="s">
        <v>353</v>
      </c>
      <c r="B65" s="124"/>
      <c r="C65" s="95" t="n">
        <v>1538</v>
      </c>
      <c r="D65" s="125" t="s">
        <v>354</v>
      </c>
      <c r="E65" s="125"/>
      <c r="F65" s="126" t="n">
        <v>0</v>
      </c>
      <c r="G65" s="126" t="n">
        <v>2</v>
      </c>
      <c r="H65" s="126" t="n">
        <v>0</v>
      </c>
      <c r="I65" s="108" t="n">
        <f aca="false">SUM(F65:H65)/3</f>
        <v>0.666666666666667</v>
      </c>
      <c r="J65" s="137"/>
      <c r="K65" s="137"/>
      <c r="BB65" s="127" t="n">
        <f aca="false">100*I65</f>
        <v>66.6666666666667</v>
      </c>
      <c r="BI65" s="127" t="n">
        <f aca="false">0*I65</f>
        <v>0</v>
      </c>
      <c r="BJ65" s="115"/>
      <c r="JL65" s="127" t="n">
        <f aca="false">10*$I65</f>
        <v>6.66666666666667</v>
      </c>
    </row>
    <row collapsed="false" customFormat="true" customHeight="true" hidden="false" ht="12.75" outlineLevel="0" r="66" s="178">
      <c r="A66" s="167" t="s">
        <v>355</v>
      </c>
      <c r="B66" s="167"/>
      <c r="C66" s="168" t="n">
        <v>142</v>
      </c>
      <c r="D66" s="169" t="s">
        <v>356</v>
      </c>
      <c r="E66" s="169"/>
      <c r="F66" s="170"/>
      <c r="G66" s="170"/>
      <c r="H66" s="170"/>
      <c r="I66" s="171" t="n">
        <v>0</v>
      </c>
      <c r="J66" s="185"/>
      <c r="K66" s="185"/>
      <c r="L66" s="173"/>
      <c r="M66" s="173"/>
      <c r="N66" s="173"/>
      <c r="O66" s="173"/>
      <c r="P66" s="173"/>
      <c r="Q66" s="173"/>
      <c r="R66" s="174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7"/>
      <c r="BC66" s="177" t="n">
        <f aca="false">0.411*1000*$I66</f>
        <v>0</v>
      </c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5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4"/>
      <c r="GC66" s="176"/>
      <c r="GD66" s="176"/>
      <c r="GE66" s="176"/>
      <c r="GF66" s="176"/>
      <c r="GG66" s="176"/>
      <c r="GH66" s="176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3"/>
      <c r="HC66" s="173"/>
      <c r="HD66" s="173"/>
      <c r="HE66" s="173"/>
      <c r="HF66" s="173"/>
      <c r="HG66" s="173"/>
      <c r="HH66" s="173"/>
      <c r="HI66" s="174"/>
      <c r="HJ66" s="173"/>
      <c r="HK66" s="173"/>
      <c r="HL66" s="173"/>
      <c r="HM66" s="173"/>
      <c r="HN66" s="174"/>
      <c r="HO66" s="173"/>
      <c r="HP66" s="173"/>
      <c r="HQ66" s="173"/>
      <c r="HR66" s="173"/>
      <c r="HS66" s="173"/>
      <c r="HT66" s="173"/>
      <c r="HU66" s="173"/>
      <c r="HV66" s="173"/>
      <c r="HW66" s="173"/>
      <c r="HX66" s="173"/>
      <c r="HY66" s="173"/>
      <c r="HZ66" s="173"/>
      <c r="IA66" s="173"/>
      <c r="IB66" s="173"/>
      <c r="IC66" s="173"/>
      <c r="ID66" s="173"/>
      <c r="IE66" s="173"/>
      <c r="IF66" s="173"/>
      <c r="IG66" s="173"/>
      <c r="IH66" s="173"/>
      <c r="II66" s="173"/>
      <c r="IJ66" s="173"/>
      <c r="IK66" s="173"/>
      <c r="IL66" s="173"/>
      <c r="IM66" s="173"/>
      <c r="IN66" s="173"/>
      <c r="IO66" s="173"/>
      <c r="IP66" s="173"/>
      <c r="IQ66" s="173"/>
      <c r="IR66" s="173"/>
      <c r="IS66" s="173"/>
      <c r="IT66" s="173"/>
      <c r="IU66" s="173"/>
      <c r="IV66" s="173"/>
      <c r="IW66" s="173"/>
      <c r="IX66" s="173"/>
      <c r="IY66" s="173"/>
      <c r="IZ66" s="173"/>
      <c r="JA66" s="173"/>
      <c r="JB66" s="173"/>
      <c r="JC66" s="173"/>
      <c r="JD66" s="173"/>
      <c r="AMI66" s="0"/>
      <c r="AMJ66" s="0"/>
    </row>
    <row collapsed="false" customFormat="true" customHeight="true" hidden="false" ht="12.75" outlineLevel="0" r="67" s="178">
      <c r="A67" s="167" t="s">
        <v>355</v>
      </c>
      <c r="B67" s="167"/>
      <c r="C67" s="168" t="n">
        <v>142</v>
      </c>
      <c r="D67" s="169" t="s">
        <v>356</v>
      </c>
      <c r="E67" s="169"/>
      <c r="F67" s="170"/>
      <c r="G67" s="170"/>
      <c r="H67" s="170"/>
      <c r="I67" s="171" t="n">
        <v>0</v>
      </c>
      <c r="J67" s="185"/>
      <c r="K67" s="185"/>
      <c r="L67" s="173"/>
      <c r="M67" s="173"/>
      <c r="N67" s="173"/>
      <c r="O67" s="173"/>
      <c r="P67" s="173"/>
      <c r="Q67" s="173"/>
      <c r="R67" s="174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 t="n">
        <f aca="false">0.411*1000*$I67</f>
        <v>0</v>
      </c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5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4"/>
      <c r="GC67" s="176"/>
      <c r="GD67" s="176"/>
      <c r="GE67" s="176"/>
      <c r="GF67" s="176"/>
      <c r="GG67" s="176"/>
      <c r="GH67" s="176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3"/>
      <c r="HC67" s="173"/>
      <c r="HD67" s="173"/>
      <c r="HE67" s="173"/>
      <c r="HF67" s="173"/>
      <c r="HG67" s="173"/>
      <c r="HH67" s="173"/>
      <c r="HI67" s="174"/>
      <c r="HJ67" s="173"/>
      <c r="HK67" s="173"/>
      <c r="HL67" s="173"/>
      <c r="HM67" s="173"/>
      <c r="HN67" s="174"/>
      <c r="HO67" s="173"/>
      <c r="HP67" s="173"/>
      <c r="HQ67" s="173"/>
      <c r="HR67" s="173"/>
      <c r="HS67" s="173"/>
      <c r="HT67" s="173"/>
      <c r="HU67" s="173"/>
      <c r="HV67" s="173"/>
      <c r="HW67" s="173"/>
      <c r="HX67" s="173"/>
      <c r="HY67" s="173"/>
      <c r="HZ67" s="173"/>
      <c r="IA67" s="173"/>
      <c r="IB67" s="173"/>
      <c r="IC67" s="173"/>
      <c r="ID67" s="173"/>
      <c r="IE67" s="173"/>
      <c r="IF67" s="173"/>
      <c r="IG67" s="173"/>
      <c r="IH67" s="173"/>
      <c r="II67" s="173"/>
      <c r="IJ67" s="173"/>
      <c r="IK67" s="173"/>
      <c r="IL67" s="173"/>
      <c r="IM67" s="173"/>
      <c r="IN67" s="173"/>
      <c r="IO67" s="173"/>
      <c r="IP67" s="173"/>
      <c r="IQ67" s="173"/>
      <c r="IR67" s="173"/>
      <c r="IS67" s="173"/>
      <c r="IT67" s="173"/>
      <c r="IU67" s="173"/>
      <c r="IV67" s="173"/>
      <c r="IW67" s="173"/>
      <c r="IX67" s="173"/>
      <c r="IY67" s="173"/>
      <c r="IZ67" s="173"/>
      <c r="JA67" s="173"/>
      <c r="JB67" s="173"/>
      <c r="JC67" s="173"/>
      <c r="JD67" s="173"/>
      <c r="AMI67" s="0"/>
      <c r="AMJ67" s="0"/>
    </row>
    <row collapsed="false" customFormat="true" customHeight="true" hidden="false" ht="12.75" outlineLevel="0" r="68" s="4">
      <c r="A68" s="128" t="s">
        <v>357</v>
      </c>
      <c r="B68" s="128"/>
      <c r="C68" s="91" t="n">
        <v>541</v>
      </c>
      <c r="D68" s="129" t="s">
        <v>358</v>
      </c>
      <c r="E68" s="129"/>
      <c r="F68" s="130" t="n">
        <v>0</v>
      </c>
      <c r="G68" s="130" t="n">
        <f aca="false">0.5*5*2</f>
        <v>5</v>
      </c>
      <c r="H68" s="130" t="n">
        <f aca="false">0.5*5*3</f>
        <v>7.5</v>
      </c>
      <c r="I68" s="131" t="n">
        <f aca="false">SUM(F68:H68)/3</f>
        <v>4.16666666666667</v>
      </c>
      <c r="J68" s="104"/>
      <c r="K68" s="104"/>
      <c r="R68" s="34"/>
      <c r="BC68" s="148" t="n">
        <f aca="false">925/5*$I68</f>
        <v>770.833333333333</v>
      </c>
      <c r="CX68" s="35"/>
      <c r="GB68" s="34"/>
      <c r="GC68" s="116"/>
      <c r="GD68" s="116"/>
      <c r="GE68" s="116"/>
      <c r="GF68" s="116"/>
      <c r="GG68" s="116"/>
      <c r="GH68" s="116"/>
      <c r="GJ68" s="1"/>
      <c r="HI68" s="34"/>
      <c r="HN68" s="34"/>
      <c r="AMI68" s="0"/>
      <c r="AMJ68" s="0"/>
    </row>
    <row collapsed="false" customFormat="true" customHeight="true" hidden="false" ht="12.75" outlineLevel="0" r="69" s="4">
      <c r="A69" s="124" t="s">
        <v>357</v>
      </c>
      <c r="B69" s="110"/>
      <c r="C69" s="95" t="n">
        <v>541</v>
      </c>
      <c r="D69" s="125" t="s">
        <v>358</v>
      </c>
      <c r="E69" s="125"/>
      <c r="F69" s="126" t="n">
        <v>0</v>
      </c>
      <c r="G69" s="126" t="n">
        <f aca="false">0.33*5*2</f>
        <v>3.3</v>
      </c>
      <c r="H69" s="126" t="n">
        <f aca="false">0.33*5*3</f>
        <v>4.95</v>
      </c>
      <c r="I69" s="108" t="n">
        <f aca="false">SUM(F69:H69)/3</f>
        <v>2.75</v>
      </c>
      <c r="J69" s="104"/>
      <c r="K69" s="104"/>
      <c r="R69" s="34"/>
      <c r="BC69" s="127" t="n">
        <f aca="false">925/5*$I69</f>
        <v>508.75</v>
      </c>
      <c r="CX69" s="35"/>
      <c r="GB69" s="34"/>
      <c r="GC69" s="116"/>
      <c r="GD69" s="116"/>
      <c r="GE69" s="116"/>
      <c r="GF69" s="116"/>
      <c r="GG69" s="116"/>
      <c r="GH69" s="116"/>
      <c r="GJ69" s="1"/>
      <c r="HI69" s="34"/>
      <c r="HN69" s="34"/>
      <c r="AMI69" s="0"/>
      <c r="AMJ69" s="0"/>
    </row>
    <row collapsed="false" customFormat="true" customHeight="true" hidden="false" ht="12.75" outlineLevel="0" r="70" s="4">
      <c r="A70" s="128" t="s">
        <v>359</v>
      </c>
      <c r="B70" s="128"/>
      <c r="C70" s="91" t="n">
        <v>522</v>
      </c>
      <c r="D70" s="129" t="s">
        <v>360</v>
      </c>
      <c r="E70" s="129"/>
      <c r="F70" s="130" t="n">
        <v>2</v>
      </c>
      <c r="G70" s="130" t="n">
        <v>2</v>
      </c>
      <c r="H70" s="130" t="n">
        <v>3</v>
      </c>
      <c r="I70" s="102" t="n">
        <f aca="false">SUM(F70:H70)/3</f>
        <v>2.33333333333333</v>
      </c>
      <c r="J70" s="104"/>
      <c r="K70" s="104"/>
      <c r="R70" s="34"/>
      <c r="BC70" s="115"/>
      <c r="CV70" s="132" t="n">
        <f aca="false">90/400*450*I70</f>
        <v>236.25</v>
      </c>
      <c r="CX70" s="35"/>
      <c r="DH70" s="132" t="n">
        <f aca="false">400*I70</f>
        <v>933.333333333333</v>
      </c>
      <c r="DI70" s="132" t="n">
        <f aca="false">210/400*450*I70</f>
        <v>551.25</v>
      </c>
      <c r="GB70" s="34"/>
      <c r="GC70" s="116"/>
      <c r="GD70" s="116"/>
      <c r="GE70" s="116"/>
      <c r="GF70" s="116"/>
      <c r="GG70" s="116"/>
      <c r="GH70" s="116"/>
      <c r="GJ70" s="1"/>
      <c r="HI70" s="34"/>
      <c r="HN70" s="34"/>
      <c r="AMI70" s="0"/>
      <c r="AMJ70" s="0"/>
    </row>
    <row collapsed="false" customFormat="true" customHeight="true" hidden="false" ht="12.75" outlineLevel="0" r="71" s="4">
      <c r="A71" s="124" t="s">
        <v>359</v>
      </c>
      <c r="B71" s="124"/>
      <c r="C71" s="95" t="n">
        <v>522</v>
      </c>
      <c r="D71" s="125" t="s">
        <v>360</v>
      </c>
      <c r="E71" s="125"/>
      <c r="F71" s="126" t="n">
        <v>2</v>
      </c>
      <c r="G71" s="126" t="n">
        <v>2</v>
      </c>
      <c r="H71" s="126" t="n">
        <v>3</v>
      </c>
      <c r="I71" s="108" t="n">
        <f aca="false">SUM(F71:H71)/3</f>
        <v>2.33333333333333</v>
      </c>
      <c r="J71" s="104"/>
      <c r="K71" s="104"/>
      <c r="R71" s="34"/>
      <c r="BC71" s="115"/>
      <c r="CV71" s="36" t="n">
        <f aca="false">90/400*450*I71</f>
        <v>236.25</v>
      </c>
      <c r="CX71" s="35"/>
      <c r="DH71" s="36" t="n">
        <f aca="false">400*I71</f>
        <v>933.333333333333</v>
      </c>
      <c r="DI71" s="36" t="n">
        <f aca="false">210/400*450*I71</f>
        <v>551.25</v>
      </c>
      <c r="GB71" s="34"/>
      <c r="GC71" s="116"/>
      <c r="GD71" s="116"/>
      <c r="GE71" s="116"/>
      <c r="GF71" s="116"/>
      <c r="GG71" s="116"/>
      <c r="GH71" s="116"/>
      <c r="GJ71" s="1"/>
      <c r="HI71" s="34"/>
      <c r="HN71" s="34"/>
      <c r="AMI71" s="0"/>
      <c r="AMJ71" s="0"/>
    </row>
    <row collapsed="false" customFormat="true" customHeight="true" hidden="false" ht="12.75" outlineLevel="0" r="72" s="178">
      <c r="A72" s="167" t="s">
        <v>361</v>
      </c>
      <c r="B72" s="167"/>
      <c r="C72" s="168" t="n">
        <v>364</v>
      </c>
      <c r="D72" s="169" t="s">
        <v>362</v>
      </c>
      <c r="E72" s="169"/>
      <c r="F72" s="170" t="n">
        <v>0</v>
      </c>
      <c r="G72" s="170" t="n">
        <v>0</v>
      </c>
      <c r="H72" s="170" t="n">
        <v>0</v>
      </c>
      <c r="I72" s="171" t="n">
        <f aca="false">SUM(F72:H72)/3</f>
        <v>0</v>
      </c>
      <c r="J72" s="185"/>
      <c r="K72" s="185"/>
      <c r="L72" s="173"/>
      <c r="M72" s="173"/>
      <c r="N72" s="173"/>
      <c r="O72" s="173"/>
      <c r="P72" s="173"/>
      <c r="Q72" s="173"/>
      <c r="R72" s="174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7" t="n">
        <f aca="false">190*I72</f>
        <v>0</v>
      </c>
      <c r="CW72" s="173"/>
      <c r="CX72" s="175"/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 t="n">
        <f aca="false">210*I72</f>
        <v>0</v>
      </c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/>
      <c r="FY72" s="173"/>
      <c r="FZ72" s="173"/>
      <c r="GA72" s="173"/>
      <c r="GB72" s="174"/>
      <c r="GC72" s="176"/>
      <c r="GD72" s="176"/>
      <c r="GE72" s="176"/>
      <c r="GF72" s="176"/>
      <c r="GG72" s="176"/>
      <c r="GH72" s="176"/>
      <c r="GI72" s="173"/>
      <c r="GJ72" s="173"/>
      <c r="GK72" s="173"/>
      <c r="GL72" s="173"/>
      <c r="GM72" s="173"/>
      <c r="GN72" s="173"/>
      <c r="GO72" s="173"/>
      <c r="GP72" s="173"/>
      <c r="GQ72" s="173"/>
      <c r="GR72" s="173"/>
      <c r="GS72" s="173"/>
      <c r="GT72" s="173"/>
      <c r="GU72" s="173"/>
      <c r="GV72" s="173"/>
      <c r="GW72" s="173"/>
      <c r="GX72" s="173"/>
      <c r="GY72" s="173"/>
      <c r="GZ72" s="173"/>
      <c r="HA72" s="173"/>
      <c r="HB72" s="173"/>
      <c r="HC72" s="173"/>
      <c r="HD72" s="173"/>
      <c r="HE72" s="173"/>
      <c r="HF72" s="173"/>
      <c r="HG72" s="173"/>
      <c r="HH72" s="173"/>
      <c r="HI72" s="174"/>
      <c r="HJ72" s="173"/>
      <c r="HK72" s="173"/>
      <c r="HL72" s="173"/>
      <c r="HM72" s="173"/>
      <c r="HN72" s="174"/>
      <c r="HO72" s="173"/>
      <c r="HP72" s="173"/>
      <c r="HQ72" s="173"/>
      <c r="HR72" s="173"/>
      <c r="HS72" s="173"/>
      <c r="HT72" s="173"/>
      <c r="HU72" s="173"/>
      <c r="HV72" s="173"/>
      <c r="HW72" s="173"/>
      <c r="HX72" s="173"/>
      <c r="HY72" s="173"/>
      <c r="HZ72" s="173"/>
      <c r="IA72" s="173"/>
      <c r="IB72" s="173"/>
      <c r="IC72" s="173"/>
      <c r="ID72" s="173"/>
      <c r="IE72" s="173"/>
      <c r="IF72" s="173"/>
      <c r="IG72" s="173"/>
      <c r="IH72" s="173"/>
      <c r="II72" s="173"/>
      <c r="IJ72" s="173"/>
      <c r="IK72" s="173"/>
      <c r="IL72" s="173"/>
      <c r="IM72" s="173"/>
      <c r="IN72" s="173"/>
      <c r="IO72" s="173"/>
      <c r="IP72" s="173"/>
      <c r="IQ72" s="173"/>
      <c r="IR72" s="173"/>
      <c r="IS72" s="173"/>
      <c r="IT72" s="173"/>
      <c r="IU72" s="173"/>
      <c r="IV72" s="173"/>
      <c r="IW72" s="173"/>
      <c r="IX72" s="173"/>
      <c r="IY72" s="173"/>
      <c r="IZ72" s="173"/>
      <c r="JA72" s="173"/>
      <c r="JB72" s="173"/>
      <c r="JC72" s="173"/>
      <c r="JD72" s="173"/>
    </row>
    <row collapsed="false" customFormat="true" customHeight="true" hidden="false" ht="12.75" outlineLevel="0" r="73" s="178">
      <c r="A73" s="167" t="s">
        <v>361</v>
      </c>
      <c r="B73" s="167"/>
      <c r="C73" s="168" t="n">
        <v>364</v>
      </c>
      <c r="D73" s="169" t="s">
        <v>362</v>
      </c>
      <c r="E73" s="169"/>
      <c r="F73" s="170" t="n">
        <v>0</v>
      </c>
      <c r="G73" s="170" t="n">
        <v>0</v>
      </c>
      <c r="H73" s="170" t="n">
        <v>0</v>
      </c>
      <c r="I73" s="171" t="n">
        <f aca="false">SUM(F73:H73)/3</f>
        <v>0</v>
      </c>
      <c r="J73" s="185"/>
      <c r="K73" s="185"/>
      <c r="L73" s="173"/>
      <c r="M73" s="173"/>
      <c r="N73" s="173"/>
      <c r="O73" s="173"/>
      <c r="P73" s="173"/>
      <c r="Q73" s="173"/>
      <c r="R73" s="174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7" t="n">
        <f aca="false">190*I73</f>
        <v>0</v>
      </c>
      <c r="CW73" s="173"/>
      <c r="CX73" s="175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 t="n">
        <f aca="false">210*I73</f>
        <v>0</v>
      </c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173"/>
      <c r="FM73" s="173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173"/>
      <c r="FY73" s="173"/>
      <c r="FZ73" s="173"/>
      <c r="GA73" s="173"/>
      <c r="GB73" s="174"/>
      <c r="GC73" s="176"/>
      <c r="GD73" s="176"/>
      <c r="GE73" s="176"/>
      <c r="GF73" s="176"/>
      <c r="GG73" s="176"/>
      <c r="GH73" s="176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3"/>
      <c r="HC73" s="173"/>
      <c r="HD73" s="173"/>
      <c r="HE73" s="173"/>
      <c r="HF73" s="173"/>
      <c r="HG73" s="173"/>
      <c r="HH73" s="173"/>
      <c r="HI73" s="174"/>
      <c r="HJ73" s="173"/>
      <c r="HK73" s="173"/>
      <c r="HL73" s="173"/>
      <c r="HM73" s="173"/>
      <c r="HN73" s="174"/>
      <c r="HO73" s="173"/>
      <c r="HP73" s="173"/>
      <c r="HQ73" s="173"/>
      <c r="HR73" s="173"/>
      <c r="HS73" s="173"/>
      <c r="HT73" s="173"/>
      <c r="HU73" s="173"/>
      <c r="HV73" s="173"/>
      <c r="HW73" s="173"/>
      <c r="HX73" s="173"/>
      <c r="HY73" s="173"/>
      <c r="HZ73" s="173"/>
      <c r="IA73" s="173"/>
      <c r="IB73" s="173"/>
      <c r="IC73" s="173"/>
      <c r="ID73" s="173"/>
      <c r="IE73" s="173"/>
      <c r="IF73" s="173"/>
      <c r="IG73" s="173"/>
      <c r="IH73" s="173"/>
      <c r="II73" s="173"/>
      <c r="IJ73" s="173"/>
      <c r="IK73" s="173"/>
      <c r="IL73" s="173"/>
      <c r="IM73" s="173"/>
      <c r="IN73" s="173"/>
      <c r="IO73" s="173"/>
      <c r="IP73" s="173"/>
      <c r="IQ73" s="173"/>
      <c r="IR73" s="173"/>
      <c r="IS73" s="173"/>
      <c r="IT73" s="173"/>
      <c r="IU73" s="173"/>
      <c r="IV73" s="173"/>
      <c r="IW73" s="173"/>
      <c r="IX73" s="173"/>
      <c r="IY73" s="173"/>
      <c r="IZ73" s="173"/>
      <c r="JA73" s="173"/>
      <c r="JB73" s="173"/>
      <c r="JC73" s="173"/>
      <c r="JD73" s="173"/>
    </row>
    <row collapsed="false" customFormat="false" customHeight="true" hidden="false" ht="12.75" outlineLevel="0" r="74">
      <c r="A74" s="141" t="s">
        <v>363</v>
      </c>
      <c r="B74" s="141"/>
      <c r="C74" s="179" t="n">
        <v>1503</v>
      </c>
      <c r="D74" s="143" t="s">
        <v>338</v>
      </c>
      <c r="E74" s="143"/>
      <c r="F74" s="144" t="n">
        <v>0</v>
      </c>
      <c r="G74" s="144" t="n">
        <f aca="false">3*2</f>
        <v>6</v>
      </c>
      <c r="H74" s="144" t="n">
        <v>0</v>
      </c>
      <c r="I74" s="102" t="n">
        <f aca="false">SUM(F74:H74)/3</f>
        <v>2</v>
      </c>
      <c r="J74" s="104"/>
      <c r="K74" s="104"/>
      <c r="BD74" s="189" t="n">
        <f aca="false">133*$I74</f>
        <v>266</v>
      </c>
      <c r="BE74" s="4"/>
      <c r="BF74" s="189" t="n">
        <f aca="false">175*$I74</f>
        <v>350</v>
      </c>
      <c r="BG74" s="4"/>
      <c r="FV74" s="148" t="n">
        <f aca="false">100*I74</f>
        <v>200</v>
      </c>
    </row>
    <row collapsed="false" customFormat="false" customHeight="true" hidden="false" ht="12.75" outlineLevel="0" r="75">
      <c r="A75" s="124" t="s">
        <v>363</v>
      </c>
      <c r="B75" s="124"/>
      <c r="C75" s="95" t="n">
        <v>1503</v>
      </c>
      <c r="D75" s="125" t="s">
        <v>338</v>
      </c>
      <c r="E75" s="125"/>
      <c r="F75" s="126" t="n">
        <v>0</v>
      </c>
      <c r="G75" s="126" t="n">
        <f aca="false">2*2</f>
        <v>4</v>
      </c>
      <c r="H75" s="126" t="n">
        <v>0</v>
      </c>
      <c r="I75" s="108" t="n">
        <f aca="false">SUM(F75:H75)/3</f>
        <v>1.33333333333333</v>
      </c>
      <c r="J75" s="104"/>
      <c r="K75" s="104"/>
      <c r="BD75" s="127" t="n">
        <f aca="false">133*$I75</f>
        <v>177.333333333333</v>
      </c>
      <c r="BE75" s="4"/>
      <c r="BF75" s="127" t="n">
        <f aca="false">175*$I75</f>
        <v>233.333333333333</v>
      </c>
      <c r="BG75" s="4"/>
      <c r="FV75" s="127" t="n">
        <f aca="false">100*I75</f>
        <v>133.333333333333</v>
      </c>
    </row>
    <row collapsed="false" customFormat="false" customHeight="true" hidden="false" ht="12.75" outlineLevel="0" r="76">
      <c r="A76" s="133" t="s">
        <v>364</v>
      </c>
      <c r="B76" s="133"/>
      <c r="C76" s="134" t="n">
        <v>69</v>
      </c>
      <c r="D76" s="133" t="s">
        <v>365</v>
      </c>
      <c r="E76" s="133"/>
      <c r="F76" s="190" t="n">
        <v>2</v>
      </c>
      <c r="G76" s="190" t="n">
        <v>2</v>
      </c>
      <c r="H76" s="190" t="n">
        <v>0</v>
      </c>
      <c r="I76" s="102" t="n">
        <f aca="false">SUM(F76:H76)/3</f>
        <v>1.33333333333333</v>
      </c>
      <c r="J76" s="137"/>
      <c r="K76" s="137"/>
      <c r="AK76" s="146" t="n">
        <f aca="false">0.5*1400/2*I76</f>
        <v>466.666666666667</v>
      </c>
      <c r="AL76" s="0"/>
      <c r="AN76" s="191"/>
      <c r="CE76" s="0"/>
      <c r="CF76" s="0"/>
      <c r="CG76" s="0"/>
      <c r="DK76" s="0"/>
      <c r="DQ76" s="146" t="n">
        <f aca="false">0.35*700*$I76</f>
        <v>326.666666666667</v>
      </c>
      <c r="DR76" s="115"/>
      <c r="GB76" s="192"/>
      <c r="GC76" s="1"/>
      <c r="GD76" s="1"/>
      <c r="GE76" s="1"/>
      <c r="GF76" s="1"/>
      <c r="GG76" s="1"/>
      <c r="GH76" s="1"/>
      <c r="GT76" s="146" t="n">
        <f aca="false">100/2*$I76</f>
        <v>66.6666666666667</v>
      </c>
      <c r="GU76" s="4"/>
      <c r="GV76" s="4"/>
      <c r="GW76" s="4"/>
    </row>
    <row collapsed="false" customFormat="false" customHeight="true" hidden="false" ht="12.75" outlineLevel="0" r="77">
      <c r="A77" s="124" t="s">
        <v>364</v>
      </c>
      <c r="B77" s="124"/>
      <c r="C77" s="95" t="n">
        <v>69</v>
      </c>
      <c r="D77" s="124" t="s">
        <v>365</v>
      </c>
      <c r="E77" s="124"/>
      <c r="F77" s="193" t="n">
        <v>2</v>
      </c>
      <c r="G77" s="193" t="n">
        <v>2</v>
      </c>
      <c r="H77" s="193" t="n">
        <v>0</v>
      </c>
      <c r="I77" s="108" t="n">
        <f aca="false">SUM(F77:H77)/3</f>
        <v>1.33333333333333</v>
      </c>
      <c r="J77" s="137"/>
      <c r="K77" s="137"/>
      <c r="AK77" s="127" t="n">
        <f aca="false">0.5*1400/2*I77</f>
        <v>466.666666666667</v>
      </c>
      <c r="AL77" s="0"/>
      <c r="AN77" s="191"/>
      <c r="CE77" s="0"/>
      <c r="CF77" s="0"/>
      <c r="CG77" s="0"/>
      <c r="DK77" s="0"/>
      <c r="DQ77" s="127" t="n">
        <f aca="false">0.35*700*$I77</f>
        <v>326.666666666667</v>
      </c>
      <c r="DR77" s="115"/>
      <c r="GB77" s="192"/>
      <c r="GC77" s="1"/>
      <c r="GD77" s="1"/>
      <c r="GE77" s="1"/>
      <c r="GF77" s="1"/>
      <c r="GG77" s="1"/>
      <c r="GH77" s="1"/>
      <c r="GT77" s="127" t="n">
        <f aca="false">100/2*$I77</f>
        <v>66.6666666666667</v>
      </c>
      <c r="GU77" s="4"/>
      <c r="GV77" s="4"/>
      <c r="GW77" s="4"/>
    </row>
    <row collapsed="false" customFormat="false" customHeight="true" hidden="false" ht="12.75" outlineLevel="0" r="78">
      <c r="A78" s="141" t="s">
        <v>366</v>
      </c>
      <c r="B78" s="141"/>
      <c r="C78" s="179" t="n">
        <v>921</v>
      </c>
      <c r="D78" s="143" t="s">
        <v>338</v>
      </c>
      <c r="E78" s="143"/>
      <c r="F78" s="144" t="n">
        <v>0</v>
      </c>
      <c r="G78" s="144" t="n">
        <f aca="false">3*2</f>
        <v>6</v>
      </c>
      <c r="H78" s="144" t="n">
        <v>0</v>
      </c>
      <c r="I78" s="102" t="n">
        <f aca="false">SUM(F78:H78)/3</f>
        <v>2</v>
      </c>
      <c r="J78" s="137"/>
      <c r="K78" s="137"/>
      <c r="T78" s="189" t="n">
        <f aca="false">7.35/3*$I78</f>
        <v>4.9</v>
      </c>
      <c r="X78" s="145" t="n">
        <f aca="false">125/3*I78</f>
        <v>83.3333333333333</v>
      </c>
      <c r="DA78" s="29" t="n">
        <f aca="false">(0.05*125)/3*$I78</f>
        <v>4.16666666666667</v>
      </c>
      <c r="DK78" s="181" t="n">
        <f aca="false">600/3*I78</f>
        <v>400</v>
      </c>
      <c r="FO78" s="146" t="n">
        <f aca="false">100/3*$I78</f>
        <v>66.6666666666667</v>
      </c>
      <c r="FR78" s="145" t="n">
        <f aca="false">100/3*I78</f>
        <v>66.6666666666667</v>
      </c>
      <c r="FV78" s="145" t="n">
        <f aca="false">((0.95*50)/3+21/3)*I78</f>
        <v>45.6666666666667</v>
      </c>
      <c r="FW78" s="4"/>
      <c r="FX78" s="4"/>
      <c r="FY78" s="0"/>
      <c r="GB78" s="192"/>
      <c r="GS78" s="146" t="n">
        <f aca="false">(0.2*125)/3*$I78</f>
        <v>16.6666666666667</v>
      </c>
      <c r="IA78" s="145" t="n">
        <f aca="false">20/3*I78</f>
        <v>13.3333333333333</v>
      </c>
    </row>
    <row collapsed="false" customFormat="false" customHeight="true" hidden="false" ht="12.75" outlineLevel="0" r="79">
      <c r="A79" s="124" t="s">
        <v>366</v>
      </c>
      <c r="B79" s="124"/>
      <c r="C79" s="95" t="n">
        <v>921</v>
      </c>
      <c r="D79" s="125" t="s">
        <v>338</v>
      </c>
      <c r="E79" s="125"/>
      <c r="F79" s="126" t="n">
        <v>0</v>
      </c>
      <c r="G79" s="126" t="n">
        <f aca="false">2*2</f>
        <v>4</v>
      </c>
      <c r="H79" s="126" t="n">
        <v>0</v>
      </c>
      <c r="I79" s="108" t="n">
        <f aca="false">SUM(F79:H79)/3</f>
        <v>1.33333333333333</v>
      </c>
      <c r="J79" s="137"/>
      <c r="K79" s="137"/>
      <c r="T79" s="127" t="n">
        <f aca="false">7.5/3*$I79</f>
        <v>3.33333333333333</v>
      </c>
      <c r="X79" s="127" t="n">
        <f aca="false">125/3*I79</f>
        <v>55.5555555555556</v>
      </c>
      <c r="DA79" s="36" t="n">
        <f aca="false">(0.05*125)/3*$I79</f>
        <v>2.77777777777778</v>
      </c>
      <c r="DK79" s="127" t="n">
        <f aca="false">600/3*I79</f>
        <v>266.666666666667</v>
      </c>
      <c r="FO79" s="127" t="n">
        <f aca="false">100/3*$I79</f>
        <v>44.4444444444444</v>
      </c>
      <c r="FR79" s="127" t="n">
        <f aca="false">100/3*I79</f>
        <v>44.4444444444444</v>
      </c>
      <c r="FV79" s="127" t="n">
        <f aca="false">((0.95*50)/3+21/3)*I79</f>
        <v>30.4444444444444</v>
      </c>
      <c r="FW79" s="4"/>
      <c r="FX79" s="4"/>
      <c r="FY79" s="0"/>
      <c r="GB79" s="192"/>
      <c r="GS79" s="127" t="n">
        <f aca="false">(0.2*125)/3*$I79</f>
        <v>11.1111111111111</v>
      </c>
      <c r="IA79" s="127" t="n">
        <f aca="false">20/3*I79</f>
        <v>8.88888888888889</v>
      </c>
    </row>
    <row collapsed="false" customFormat="false" customHeight="true" hidden="false" ht="12.75" outlineLevel="0" r="80">
      <c r="A80" s="128" t="s">
        <v>367</v>
      </c>
      <c r="B80" s="128"/>
      <c r="C80" s="91" t="n">
        <v>119</v>
      </c>
      <c r="D80" s="129" t="s">
        <v>368</v>
      </c>
      <c r="E80" s="129"/>
      <c r="F80" s="130" t="n">
        <v>0</v>
      </c>
      <c r="G80" s="130" t="n">
        <v>0</v>
      </c>
      <c r="H80" s="130" t="n">
        <v>3</v>
      </c>
      <c r="I80" s="131" t="n">
        <f aca="false">SUM(F80:H80)/3</f>
        <v>1</v>
      </c>
      <c r="J80" s="137"/>
      <c r="K80" s="137"/>
      <c r="T80" s="51"/>
      <c r="X80" s="51"/>
      <c r="AD80" s="1"/>
      <c r="AQ80" s="1"/>
      <c r="AR80" s="1"/>
      <c r="BI80" s="132" t="n">
        <f aca="false">2*I80</f>
        <v>2</v>
      </c>
      <c r="DK80" s="51"/>
      <c r="DR80" s="1"/>
      <c r="DT80" s="1"/>
      <c r="EA80" s="1"/>
      <c r="FO80" s="51"/>
      <c r="FR80" s="51"/>
      <c r="FV80" s="51"/>
      <c r="GS80" s="51"/>
      <c r="HK80" s="1"/>
      <c r="IA80" s="51"/>
    </row>
    <row collapsed="false" customFormat="false" customHeight="true" hidden="false" ht="12.75" outlineLevel="0" r="81">
      <c r="A81" s="124" t="s">
        <v>367</v>
      </c>
      <c r="B81" s="124"/>
      <c r="C81" s="95" t="n">
        <v>119</v>
      </c>
      <c r="D81" s="125" t="s">
        <v>368</v>
      </c>
      <c r="E81" s="125"/>
      <c r="F81" s="126" t="n">
        <v>0</v>
      </c>
      <c r="G81" s="126" t="n">
        <v>2</v>
      </c>
      <c r="H81" s="126" t="n">
        <v>0</v>
      </c>
      <c r="I81" s="194" t="n">
        <f aca="false">SUM(F81:H81)/3</f>
        <v>0.666666666666667</v>
      </c>
      <c r="J81" s="137"/>
      <c r="K81" s="137"/>
      <c r="T81" s="51"/>
      <c r="X81" s="51"/>
      <c r="AD81" s="1"/>
      <c r="AQ81" s="1"/>
      <c r="AR81" s="1"/>
      <c r="BI81" s="36" t="n">
        <f aca="false">2*I81</f>
        <v>1.33333333333333</v>
      </c>
      <c r="DK81" s="51"/>
      <c r="DR81" s="1"/>
      <c r="DT81" s="1"/>
      <c r="EA81" s="1"/>
      <c r="FO81" s="51"/>
      <c r="FR81" s="51"/>
      <c r="FV81" s="51"/>
      <c r="GS81" s="51"/>
      <c r="HK81" s="1"/>
      <c r="IA81" s="51"/>
    </row>
    <row collapsed="false" customFormat="false" customHeight="true" hidden="false" ht="12.95" outlineLevel="0" r="82">
      <c r="A82" s="110" t="s">
        <v>369</v>
      </c>
      <c r="B82" s="110"/>
      <c r="C82" s="111" t="n">
        <v>950</v>
      </c>
      <c r="D82" s="112" t="s">
        <v>370</v>
      </c>
      <c r="E82" s="112"/>
      <c r="F82" s="113" t="n">
        <v>0</v>
      </c>
      <c r="G82" s="113" t="n">
        <v>2</v>
      </c>
      <c r="H82" s="113" t="n">
        <v>0</v>
      </c>
      <c r="I82" s="114" t="n">
        <f aca="false">SUM(F82:H82)/3</f>
        <v>0.666666666666667</v>
      </c>
      <c r="J82" s="137"/>
      <c r="K82" s="137"/>
      <c r="BH82" s="115" t="n">
        <f aca="false">100*I82</f>
        <v>66.6666666666667</v>
      </c>
      <c r="EG82" s="1" t="n">
        <f aca="false">0.9*111*I82</f>
        <v>66.6</v>
      </c>
    </row>
    <row collapsed="false" customFormat="true" customHeight="true" hidden="false" ht="12.95" outlineLevel="0" r="83" s="4">
      <c r="A83" s="128" t="s">
        <v>371</v>
      </c>
      <c r="B83" s="128"/>
      <c r="C83" s="91" t="n">
        <v>1426</v>
      </c>
      <c r="D83" s="129" t="s">
        <v>372</v>
      </c>
      <c r="E83" s="129"/>
      <c r="F83" s="130" t="n">
        <v>0</v>
      </c>
      <c r="G83" s="130" t="n">
        <f aca="false">3*2</f>
        <v>6</v>
      </c>
      <c r="H83" s="130" t="n">
        <v>0</v>
      </c>
      <c r="I83" s="131" t="n">
        <f aca="false">SUM(F83:H83)/3</f>
        <v>2</v>
      </c>
      <c r="J83" s="104"/>
      <c r="K83" s="104"/>
      <c r="R83" s="34"/>
      <c r="BH83" s="148" t="n">
        <f aca="false">100*I83</f>
        <v>200</v>
      </c>
      <c r="CX83" s="35"/>
      <c r="EN83" s="115"/>
      <c r="EO83" s="115"/>
      <c r="FY83" s="188"/>
      <c r="GB83" s="34"/>
      <c r="GC83" s="116"/>
      <c r="GD83" s="116"/>
      <c r="GE83" s="116"/>
      <c r="GF83" s="116"/>
      <c r="GG83" s="116"/>
      <c r="GH83" s="116"/>
      <c r="GJ83" s="1"/>
      <c r="HI83" s="34"/>
      <c r="HN83" s="34"/>
      <c r="IQ83" s="188"/>
      <c r="AMI83" s="0"/>
      <c r="AMJ83" s="0"/>
    </row>
    <row collapsed="false" customFormat="true" customHeight="true" hidden="false" ht="12.95" outlineLevel="0" r="84" s="4">
      <c r="A84" s="124" t="s">
        <v>371</v>
      </c>
      <c r="B84" s="124"/>
      <c r="C84" s="95" t="n">
        <v>1426</v>
      </c>
      <c r="D84" s="125" t="s">
        <v>372</v>
      </c>
      <c r="E84" s="125"/>
      <c r="F84" s="126" t="n">
        <v>0</v>
      </c>
      <c r="G84" s="126" t="n">
        <f aca="false">2*2</f>
        <v>4</v>
      </c>
      <c r="H84" s="126" t="n">
        <v>0</v>
      </c>
      <c r="I84" s="108" t="n">
        <f aca="false">2*2/3</f>
        <v>1.33333333333333</v>
      </c>
      <c r="J84" s="104"/>
      <c r="K84" s="104"/>
      <c r="R84" s="34"/>
      <c r="BH84" s="127" t="n">
        <f aca="false">100*I84</f>
        <v>133.333333333333</v>
      </c>
      <c r="CX84" s="35"/>
      <c r="EN84" s="115"/>
      <c r="EO84" s="115"/>
      <c r="FY84" s="188"/>
      <c r="GB84" s="34"/>
      <c r="GC84" s="116"/>
      <c r="GD84" s="116"/>
      <c r="GE84" s="116"/>
      <c r="GF84" s="116"/>
      <c r="GG84" s="116"/>
      <c r="GH84" s="116"/>
      <c r="GJ84" s="1"/>
      <c r="HI84" s="34"/>
      <c r="HN84" s="34"/>
      <c r="IQ84" s="188"/>
      <c r="AMI84" s="0"/>
      <c r="AMJ84" s="0"/>
    </row>
    <row collapsed="false" customFormat="false" customHeight="true" hidden="false" ht="12.75" outlineLevel="0" r="85">
      <c r="A85" s="141" t="s">
        <v>373</v>
      </c>
      <c r="B85" s="141"/>
      <c r="C85" s="179" t="n">
        <v>1424</v>
      </c>
      <c r="D85" s="143" t="s">
        <v>374</v>
      </c>
      <c r="E85" s="143"/>
      <c r="F85" s="144" t="n">
        <v>0</v>
      </c>
      <c r="G85" s="144" t="n">
        <v>2</v>
      </c>
      <c r="H85" s="144" t="n">
        <v>0</v>
      </c>
      <c r="I85" s="102" t="n">
        <f aca="false">SUM(F85:H85)/3</f>
        <v>0.666666666666667</v>
      </c>
      <c r="J85" s="137"/>
      <c r="K85" s="137"/>
      <c r="BL85" s="145" t="n">
        <f aca="false">250*$I85</f>
        <v>166.666666666667</v>
      </c>
      <c r="DR85" s="148" t="n">
        <f aca="false">100*$I85</f>
        <v>66.6666666666667</v>
      </c>
    </row>
    <row collapsed="false" customFormat="false" customHeight="true" hidden="false" ht="12.75" outlineLevel="0" r="86">
      <c r="A86" s="124" t="s">
        <v>373</v>
      </c>
      <c r="B86" s="124"/>
      <c r="C86" s="95" t="n">
        <v>1424</v>
      </c>
      <c r="D86" s="125" t="s">
        <v>374</v>
      </c>
      <c r="E86" s="125"/>
      <c r="F86" s="126" t="n">
        <f aca="false">2*2</f>
        <v>4</v>
      </c>
      <c r="G86" s="126" t="n">
        <f aca="false">2*2</f>
        <v>4</v>
      </c>
      <c r="H86" s="126" t="n">
        <f aca="false">2*3</f>
        <v>6</v>
      </c>
      <c r="I86" s="108" t="n">
        <f aca="false">SUM(F86:H86)/3</f>
        <v>4.66666666666667</v>
      </c>
      <c r="J86" s="137"/>
      <c r="K86" s="137"/>
      <c r="BL86" s="127" t="n">
        <f aca="false">250*$I86</f>
        <v>1166.66666666667</v>
      </c>
      <c r="DR86" s="127" t="n">
        <f aca="false">100*$I86</f>
        <v>466.666666666667</v>
      </c>
    </row>
    <row collapsed="false" customFormat="false" customHeight="true" hidden="false" ht="12.75" outlineLevel="0" r="87">
      <c r="A87" s="141" t="s">
        <v>375</v>
      </c>
      <c r="B87" s="141"/>
      <c r="C87" s="179" t="n">
        <v>610</v>
      </c>
      <c r="D87" s="143" t="s">
        <v>376</v>
      </c>
      <c r="E87" s="143"/>
      <c r="F87" s="144" t="n">
        <v>9.8</v>
      </c>
      <c r="G87" s="144" t="n">
        <f aca="false">9*2</f>
        <v>18</v>
      </c>
      <c r="H87" s="144" t="n">
        <v>0</v>
      </c>
      <c r="I87" s="180" t="n">
        <f aca="false">SUM(F87:H87)/3</f>
        <v>9.26666666666667</v>
      </c>
      <c r="J87" s="137"/>
      <c r="K87" s="137"/>
      <c r="BM87" s="145" t="n">
        <f aca="false">I87*1000</f>
        <v>9266.66666666667</v>
      </c>
    </row>
    <row collapsed="false" customFormat="false" customHeight="true" hidden="false" ht="12.75" outlineLevel="0" r="88">
      <c r="A88" s="124" t="s">
        <v>375</v>
      </c>
      <c r="B88" s="124"/>
      <c r="C88" s="95" t="n">
        <v>610</v>
      </c>
      <c r="D88" s="125" t="s">
        <v>376</v>
      </c>
      <c r="E88" s="125"/>
      <c r="F88" s="126" t="n">
        <v>6.7</v>
      </c>
      <c r="G88" s="126" t="n">
        <f aca="false">6*2</f>
        <v>12</v>
      </c>
      <c r="H88" s="126" t="n">
        <v>0</v>
      </c>
      <c r="I88" s="195" t="n">
        <f aca="false">SUM(F88:H88)/3</f>
        <v>6.23333333333333</v>
      </c>
      <c r="J88" s="137"/>
      <c r="K88" s="137"/>
      <c r="BM88" s="127" t="n">
        <f aca="false">I88*1000</f>
        <v>6233.33333333333</v>
      </c>
    </row>
    <row collapsed="false" customFormat="true" customHeight="true" hidden="false" ht="12.75" outlineLevel="0" r="89" s="4">
      <c r="A89" s="110" t="s">
        <v>377</v>
      </c>
      <c r="B89" s="196"/>
      <c r="C89" s="111" t="n">
        <v>1468</v>
      </c>
      <c r="D89" s="112" t="s">
        <v>277</v>
      </c>
      <c r="E89" s="112"/>
      <c r="F89" s="113" t="n">
        <v>0</v>
      </c>
      <c r="G89" s="113" t="n">
        <v>1</v>
      </c>
      <c r="H89" s="113" t="n">
        <v>0</v>
      </c>
      <c r="I89" s="114" t="n">
        <f aca="false">SUM(F89:H89)/3</f>
        <v>0.333333333333333</v>
      </c>
      <c r="J89" s="104"/>
      <c r="K89" s="104"/>
      <c r="R89" s="34"/>
      <c r="AO89" s="115" t="n">
        <f aca="false">400*I89</f>
        <v>133.333333333333</v>
      </c>
      <c r="AX89" s="115" t="n">
        <f aca="false">50*$I89</f>
        <v>16.6666666666667</v>
      </c>
      <c r="BZ89" s="115" t="n">
        <f aca="false">14*I89</f>
        <v>4.66666666666667</v>
      </c>
      <c r="CA89" s="115"/>
      <c r="CX89" s="35"/>
      <c r="DU89" s="34" t="n">
        <f aca="false">80*I89</f>
        <v>26.6666666666667</v>
      </c>
      <c r="GB89" s="34"/>
      <c r="GC89" s="116"/>
      <c r="GD89" s="116"/>
      <c r="GE89" s="116"/>
      <c r="GF89" s="116"/>
      <c r="GG89" s="116"/>
      <c r="GH89" s="116"/>
      <c r="GJ89" s="1"/>
      <c r="GN89" s="115" t="n">
        <f aca="false">20*I89</f>
        <v>6.66666666666667</v>
      </c>
      <c r="GS89" s="115" t="n">
        <f aca="false">50*I89</f>
        <v>16.6666666666667</v>
      </c>
      <c r="HI89" s="34"/>
      <c r="HN89" s="34"/>
      <c r="JG89" s="4" t="n">
        <f aca="false">50*$I89</f>
        <v>16.6666666666667</v>
      </c>
      <c r="AMI89" s="0"/>
      <c r="AMJ89" s="0"/>
    </row>
    <row collapsed="false" customFormat="true" customHeight="false" hidden="false" ht="12.8" outlineLevel="0" r="90" s="178">
      <c r="A90" s="167" t="s">
        <v>378</v>
      </c>
      <c r="B90" s="167"/>
      <c r="C90" s="168" t="n">
        <v>1372</v>
      </c>
      <c r="D90" s="169" t="s">
        <v>379</v>
      </c>
      <c r="E90" s="169"/>
      <c r="F90" s="170"/>
      <c r="G90" s="170"/>
      <c r="H90" s="170"/>
      <c r="I90" s="171" t="n">
        <f aca="false">0*2/3</f>
        <v>0</v>
      </c>
      <c r="J90" s="185"/>
      <c r="K90" s="185"/>
      <c r="L90" s="173"/>
      <c r="M90" s="173"/>
      <c r="N90" s="173"/>
      <c r="O90" s="173"/>
      <c r="P90" s="173"/>
      <c r="Q90" s="173"/>
      <c r="R90" s="174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5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4" t="n">
        <f aca="false">1000*$I90</f>
        <v>0</v>
      </c>
      <c r="DZ90" s="173"/>
      <c r="EA90" s="173"/>
      <c r="EB90" s="173"/>
      <c r="EC90" s="173"/>
      <c r="ED90" s="173"/>
      <c r="EE90" s="173"/>
      <c r="EF90" s="173"/>
      <c r="EG90" s="173"/>
      <c r="EH90" s="173"/>
      <c r="EI90" s="173"/>
      <c r="EJ90" s="173"/>
      <c r="EK90" s="173"/>
      <c r="EL90" s="173"/>
      <c r="EM90" s="173"/>
      <c r="EN90" s="173"/>
      <c r="EO90" s="173"/>
      <c r="EP90" s="173"/>
      <c r="EQ90" s="173"/>
      <c r="ER90" s="173"/>
      <c r="ES90" s="173"/>
      <c r="ET90" s="173"/>
      <c r="EU90" s="173"/>
      <c r="EV90" s="173"/>
      <c r="EW90" s="173"/>
      <c r="EX90" s="173"/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173"/>
      <c r="FP90" s="173"/>
      <c r="FQ90" s="173"/>
      <c r="FR90" s="173"/>
      <c r="FS90" s="173"/>
      <c r="FT90" s="173"/>
      <c r="FU90" s="173"/>
      <c r="FV90" s="173"/>
      <c r="FW90" s="173"/>
      <c r="FX90" s="173"/>
      <c r="FY90" s="173"/>
      <c r="FZ90" s="173"/>
      <c r="GA90" s="173"/>
      <c r="GB90" s="174"/>
      <c r="GC90" s="176"/>
      <c r="GD90" s="176"/>
      <c r="GE90" s="176"/>
      <c r="GF90" s="176"/>
      <c r="GG90" s="176"/>
      <c r="GH90" s="176"/>
      <c r="GI90" s="173"/>
      <c r="GJ90" s="173"/>
      <c r="GK90" s="173"/>
      <c r="GL90" s="173"/>
      <c r="GM90" s="173"/>
      <c r="GN90" s="173"/>
      <c r="GO90" s="173"/>
      <c r="GP90" s="173"/>
      <c r="GQ90" s="173"/>
      <c r="GR90" s="173"/>
      <c r="GS90" s="173"/>
      <c r="GT90" s="173"/>
      <c r="GU90" s="173"/>
      <c r="GV90" s="173"/>
      <c r="GW90" s="173"/>
      <c r="GX90" s="173"/>
      <c r="GY90" s="173"/>
      <c r="GZ90" s="173"/>
      <c r="HA90" s="173"/>
      <c r="HB90" s="173"/>
      <c r="HC90" s="173"/>
      <c r="HD90" s="173"/>
      <c r="HE90" s="173"/>
      <c r="HF90" s="173"/>
      <c r="HG90" s="173"/>
      <c r="HH90" s="173"/>
      <c r="HI90" s="174"/>
      <c r="HJ90" s="173"/>
      <c r="HK90" s="173"/>
      <c r="HL90" s="173"/>
      <c r="HM90" s="173"/>
      <c r="HN90" s="174"/>
      <c r="HO90" s="173"/>
      <c r="HP90" s="173"/>
      <c r="HQ90" s="173"/>
      <c r="HR90" s="173"/>
      <c r="HS90" s="173"/>
      <c r="HT90" s="173"/>
      <c r="HU90" s="173"/>
      <c r="HV90" s="173"/>
      <c r="HW90" s="173"/>
      <c r="HX90" s="173"/>
      <c r="HY90" s="173"/>
      <c r="HZ90" s="173"/>
      <c r="IA90" s="173"/>
      <c r="IB90" s="173"/>
      <c r="IC90" s="173"/>
      <c r="ID90" s="173"/>
      <c r="IE90" s="173"/>
      <c r="IF90" s="173"/>
      <c r="IG90" s="173"/>
      <c r="IH90" s="173"/>
      <c r="II90" s="173"/>
      <c r="IJ90" s="173"/>
      <c r="IK90" s="173"/>
      <c r="IL90" s="173"/>
      <c r="IM90" s="173"/>
      <c r="IN90" s="173"/>
      <c r="IO90" s="173"/>
      <c r="IP90" s="173"/>
      <c r="IQ90" s="173"/>
      <c r="IR90" s="173"/>
      <c r="IS90" s="174" t="n">
        <f aca="false">5000*$I90</f>
        <v>0</v>
      </c>
      <c r="IT90" s="173"/>
      <c r="IU90" s="173"/>
      <c r="IV90" s="173"/>
      <c r="IW90" s="173"/>
      <c r="IX90" s="173"/>
      <c r="IY90" s="173"/>
      <c r="IZ90" s="173"/>
      <c r="JA90" s="173"/>
      <c r="JB90" s="173"/>
      <c r="JC90" s="173"/>
      <c r="JD90" s="173"/>
    </row>
    <row collapsed="false" customFormat="true" customHeight="false" hidden="false" ht="12.8" outlineLevel="0" r="91" s="178">
      <c r="A91" s="167" t="s">
        <v>378</v>
      </c>
      <c r="B91" s="167"/>
      <c r="C91" s="168" t="n">
        <v>1372</v>
      </c>
      <c r="D91" s="169" t="s">
        <v>379</v>
      </c>
      <c r="E91" s="169"/>
      <c r="F91" s="170"/>
      <c r="G91" s="170"/>
      <c r="H91" s="170"/>
      <c r="I91" s="197" t="n">
        <f aca="false">(0+0+0)/3</f>
        <v>0</v>
      </c>
      <c r="J91" s="185"/>
      <c r="K91" s="185"/>
      <c r="L91" s="173"/>
      <c r="M91" s="173"/>
      <c r="N91" s="173"/>
      <c r="O91" s="173"/>
      <c r="P91" s="173"/>
      <c r="Q91" s="173"/>
      <c r="R91" s="174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5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4" t="n">
        <f aca="false">1000*$I91</f>
        <v>0</v>
      </c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3"/>
      <c r="EN91" s="173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173"/>
      <c r="FP91" s="173"/>
      <c r="FQ91" s="173"/>
      <c r="FR91" s="173"/>
      <c r="FS91" s="173"/>
      <c r="FT91" s="173"/>
      <c r="FU91" s="173"/>
      <c r="FV91" s="173"/>
      <c r="FW91" s="173"/>
      <c r="FX91" s="173"/>
      <c r="FY91" s="173"/>
      <c r="FZ91" s="173"/>
      <c r="GA91" s="173"/>
      <c r="GB91" s="174"/>
      <c r="GC91" s="176"/>
      <c r="GD91" s="176"/>
      <c r="GE91" s="176"/>
      <c r="GF91" s="176"/>
      <c r="GG91" s="176"/>
      <c r="GH91" s="176"/>
      <c r="GI91" s="173"/>
      <c r="GJ91" s="173"/>
      <c r="GK91" s="173"/>
      <c r="GL91" s="173"/>
      <c r="GM91" s="173"/>
      <c r="GN91" s="173"/>
      <c r="GO91" s="173"/>
      <c r="GP91" s="173"/>
      <c r="GQ91" s="173"/>
      <c r="GR91" s="173"/>
      <c r="GS91" s="173"/>
      <c r="GT91" s="173"/>
      <c r="GU91" s="173"/>
      <c r="GV91" s="173"/>
      <c r="GW91" s="173"/>
      <c r="GX91" s="173"/>
      <c r="GY91" s="173"/>
      <c r="GZ91" s="173"/>
      <c r="HA91" s="173"/>
      <c r="HB91" s="173"/>
      <c r="HC91" s="173"/>
      <c r="HD91" s="173"/>
      <c r="HE91" s="173"/>
      <c r="HF91" s="173"/>
      <c r="HG91" s="173"/>
      <c r="HH91" s="173"/>
      <c r="HI91" s="174"/>
      <c r="HJ91" s="173"/>
      <c r="HK91" s="173"/>
      <c r="HL91" s="173"/>
      <c r="HM91" s="173"/>
      <c r="HN91" s="174"/>
      <c r="HO91" s="173"/>
      <c r="HP91" s="173"/>
      <c r="HQ91" s="173"/>
      <c r="HR91" s="173"/>
      <c r="HS91" s="173"/>
      <c r="HT91" s="173"/>
      <c r="HU91" s="173"/>
      <c r="HV91" s="173"/>
      <c r="HW91" s="173"/>
      <c r="HX91" s="173"/>
      <c r="HY91" s="173"/>
      <c r="HZ91" s="173"/>
      <c r="IA91" s="173"/>
      <c r="IB91" s="173"/>
      <c r="IC91" s="173"/>
      <c r="ID91" s="173"/>
      <c r="IE91" s="173"/>
      <c r="IF91" s="173"/>
      <c r="IG91" s="173"/>
      <c r="IH91" s="173"/>
      <c r="II91" s="173"/>
      <c r="IJ91" s="173"/>
      <c r="IK91" s="173"/>
      <c r="IL91" s="173"/>
      <c r="IM91" s="173"/>
      <c r="IN91" s="173"/>
      <c r="IO91" s="173"/>
      <c r="IP91" s="173"/>
      <c r="IQ91" s="173"/>
      <c r="IR91" s="173"/>
      <c r="IS91" s="174" t="n">
        <f aca="false">5000*$I91</f>
        <v>0</v>
      </c>
      <c r="IT91" s="173"/>
      <c r="IU91" s="173"/>
      <c r="IV91" s="173"/>
      <c r="IW91" s="173"/>
      <c r="IX91" s="173"/>
      <c r="IY91" s="173"/>
      <c r="IZ91" s="173"/>
      <c r="JA91" s="173"/>
      <c r="JB91" s="173"/>
      <c r="JC91" s="173"/>
      <c r="JD91" s="173"/>
      <c r="AMI91" s="0"/>
      <c r="AMJ91" s="0"/>
    </row>
    <row collapsed="false" customFormat="true" customHeight="false" hidden="false" ht="19.4" outlineLevel="0" r="92" s="209">
      <c r="A92" s="198" t="s">
        <v>380</v>
      </c>
      <c r="B92" s="198"/>
      <c r="C92" s="199" t="n">
        <v>1472</v>
      </c>
      <c r="D92" s="200" t="s">
        <v>381</v>
      </c>
      <c r="E92" s="200"/>
      <c r="F92" s="201" t="n">
        <v>0</v>
      </c>
      <c r="G92" s="201" t="n">
        <f aca="false">2*2</f>
        <v>4</v>
      </c>
      <c r="H92" s="201" t="n">
        <v>0</v>
      </c>
      <c r="I92" s="202" t="n">
        <f aca="false">SUM(F92:H92)/3</f>
        <v>1.33333333333333</v>
      </c>
      <c r="J92" s="203"/>
      <c r="K92" s="203"/>
      <c r="L92" s="204"/>
      <c r="M92" s="204"/>
      <c r="N92" s="204"/>
      <c r="O92" s="204"/>
      <c r="P92" s="204"/>
      <c r="Q92" s="204"/>
      <c r="R92" s="205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6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5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5"/>
      <c r="GC92" s="207"/>
      <c r="GD92" s="207"/>
      <c r="GE92" s="207"/>
      <c r="GF92" s="207"/>
      <c r="GG92" s="207"/>
      <c r="GH92" s="207"/>
      <c r="GI92" s="204"/>
      <c r="GJ92" s="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5"/>
      <c r="HJ92" s="204"/>
      <c r="HK92" s="204"/>
      <c r="HL92" s="204"/>
      <c r="HM92" s="204"/>
      <c r="HN92" s="205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8" t="n">
        <f aca="false">5000*$I92</f>
        <v>6666.66666666667</v>
      </c>
      <c r="IT92" s="204"/>
      <c r="IU92" s="204"/>
      <c r="IV92" s="204"/>
      <c r="IW92" s="204"/>
      <c r="IX92" s="204"/>
      <c r="IY92" s="204"/>
      <c r="IZ92" s="204"/>
      <c r="JA92" s="204"/>
      <c r="JB92" s="204"/>
      <c r="JC92" s="204"/>
      <c r="JD92" s="208" t="n">
        <f aca="false">1100*$I92</f>
        <v>1466.66666666667</v>
      </c>
      <c r="AMI92" s="0"/>
      <c r="AMJ92" s="0"/>
    </row>
    <row collapsed="false" customFormat="true" customHeight="false" hidden="false" ht="19.4" outlineLevel="0" r="93" s="209">
      <c r="A93" s="210" t="s">
        <v>380</v>
      </c>
      <c r="B93" s="210"/>
      <c r="C93" s="211" t="n">
        <v>1472</v>
      </c>
      <c r="D93" s="212" t="s">
        <v>381</v>
      </c>
      <c r="E93" s="212"/>
      <c r="F93" s="213" t="n">
        <v>0</v>
      </c>
      <c r="G93" s="213" t="n">
        <f aca="false">1+2+0</f>
        <v>3</v>
      </c>
      <c r="H93" s="213" t="n">
        <v>0</v>
      </c>
      <c r="I93" s="214" t="n">
        <f aca="false">SUM(F93:H93)/3</f>
        <v>1</v>
      </c>
      <c r="J93" s="203"/>
      <c r="K93" s="203"/>
      <c r="L93" s="204"/>
      <c r="M93" s="204"/>
      <c r="N93" s="204"/>
      <c r="O93" s="204"/>
      <c r="P93" s="204"/>
      <c r="Q93" s="204"/>
      <c r="R93" s="205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6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5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5"/>
      <c r="GC93" s="207"/>
      <c r="GD93" s="207"/>
      <c r="GE93" s="207"/>
      <c r="GF93" s="207"/>
      <c r="GG93" s="207"/>
      <c r="GH93" s="207"/>
      <c r="GI93" s="204"/>
      <c r="GJ93" s="215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5"/>
      <c r="HJ93" s="204"/>
      <c r="HK93" s="204"/>
      <c r="HL93" s="204"/>
      <c r="HM93" s="204"/>
      <c r="HN93" s="205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16" t="n">
        <f aca="false">5000*$I93</f>
        <v>5000</v>
      </c>
      <c r="IT93" s="204"/>
      <c r="IU93" s="204"/>
      <c r="IV93" s="204"/>
      <c r="IW93" s="204"/>
      <c r="IX93" s="204"/>
      <c r="IY93" s="204"/>
      <c r="IZ93" s="204"/>
      <c r="JA93" s="204"/>
      <c r="JB93" s="204"/>
      <c r="JC93" s="204"/>
      <c r="JD93" s="216" t="n">
        <f aca="false">1100*$I93</f>
        <v>1100</v>
      </c>
      <c r="AMI93" s="0"/>
      <c r="AMJ93" s="0"/>
    </row>
    <row collapsed="false" customFormat="false" customHeight="false" hidden="false" ht="12.8" outlineLevel="0" r="94">
      <c r="A94" s="124" t="s">
        <v>382</v>
      </c>
      <c r="B94" s="124"/>
      <c r="C94" s="95" t="n">
        <v>26722</v>
      </c>
      <c r="D94" s="125" t="s">
        <v>383</v>
      </c>
      <c r="E94" s="125"/>
      <c r="F94" s="126" t="n">
        <v>0</v>
      </c>
      <c r="G94" s="126" t="n">
        <v>0</v>
      </c>
      <c r="H94" s="126" t="n">
        <f aca="false">7.19*3</f>
        <v>21.57</v>
      </c>
      <c r="I94" s="108" t="n">
        <f aca="false">SUM(F94:H94)/3</f>
        <v>7.19</v>
      </c>
      <c r="J94" s="137"/>
      <c r="K94" s="137"/>
      <c r="BL94" s="36" t="n">
        <f aca="false">400/7.19*$I94</f>
        <v>400</v>
      </c>
      <c r="BR94" s="36" t="n">
        <f aca="false">2000/7.19*$I94</f>
        <v>2000</v>
      </c>
      <c r="GJ94" s="215"/>
      <c r="IS94" s="34"/>
    </row>
    <row collapsed="false" customFormat="true" customHeight="false" hidden="false" ht="12.8" outlineLevel="0" r="95" s="182">
      <c r="A95" s="110" t="s">
        <v>384</v>
      </c>
      <c r="B95" s="110"/>
      <c r="C95" s="111" t="n">
        <v>1313</v>
      </c>
      <c r="D95" s="112" t="s">
        <v>362</v>
      </c>
      <c r="E95" s="112" t="n">
        <v>0</v>
      </c>
      <c r="F95" s="113" t="n">
        <v>0</v>
      </c>
      <c r="G95" s="113" t="n">
        <f aca="false">2*2</f>
        <v>4</v>
      </c>
      <c r="H95" s="113" t="n">
        <v>0</v>
      </c>
      <c r="I95" s="217" t="n">
        <f aca="false">SUM(F95:H95)/3</f>
        <v>1.33333333333333</v>
      </c>
      <c r="J95" s="104"/>
      <c r="K95" s="104"/>
      <c r="L95" s="4"/>
      <c r="M95" s="4"/>
      <c r="N95" s="4"/>
      <c r="O95" s="4"/>
      <c r="P95" s="4"/>
      <c r="Q95" s="4"/>
      <c r="R95" s="3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35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34"/>
      <c r="GC95" s="116"/>
      <c r="GD95" s="116"/>
      <c r="GE95" s="116"/>
      <c r="GF95" s="116"/>
      <c r="GG95" s="116"/>
      <c r="GH95" s="116"/>
      <c r="GI95" s="4"/>
      <c r="GJ95" s="20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34"/>
      <c r="HJ95" s="4"/>
      <c r="HK95" s="4"/>
      <c r="HL95" s="4"/>
      <c r="HM95" s="4"/>
      <c r="HN95" s="3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3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</row>
    <row collapsed="false" customFormat="false" customHeight="true" hidden="false" ht="12.75" outlineLevel="0" r="96">
      <c r="A96" s="133" t="s">
        <v>385</v>
      </c>
      <c r="B96" s="133"/>
      <c r="C96" s="134" t="n">
        <v>882</v>
      </c>
      <c r="D96" s="135" t="s">
        <v>386</v>
      </c>
      <c r="E96" s="135"/>
      <c r="F96" s="136"/>
      <c r="G96" s="136"/>
      <c r="H96" s="136"/>
      <c r="I96" s="102" t="n">
        <v>0</v>
      </c>
      <c r="J96" s="137"/>
      <c r="K96" s="137"/>
      <c r="BH96" s="4"/>
      <c r="BN96" s="4"/>
      <c r="BW96" s="29" t="n">
        <f aca="false">50*$I96</f>
        <v>0</v>
      </c>
    </row>
    <row collapsed="false" customFormat="true" customHeight="true" hidden="false" ht="12.75" outlineLevel="0" r="97" s="178">
      <c r="A97" s="167" t="s">
        <v>385</v>
      </c>
      <c r="B97" s="167"/>
      <c r="C97" s="168" t="n">
        <v>335</v>
      </c>
      <c r="D97" s="169" t="s">
        <v>387</v>
      </c>
      <c r="E97" s="169"/>
      <c r="J97" s="185"/>
      <c r="K97" s="185"/>
      <c r="L97" s="173"/>
      <c r="M97" s="173"/>
      <c r="N97" s="173"/>
      <c r="O97" s="173"/>
      <c r="P97" s="173"/>
      <c r="Q97" s="173"/>
      <c r="R97" s="174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 t="n">
        <f aca="false">25*$I98</f>
        <v>25</v>
      </c>
      <c r="BX97" s="173"/>
      <c r="BY97" s="173"/>
      <c r="BZ97" s="173"/>
      <c r="CA97" s="173"/>
      <c r="CB97" s="173"/>
      <c r="CC97" s="173"/>
      <c r="CD97" s="173"/>
      <c r="CE97" s="173"/>
      <c r="CF97" s="173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3"/>
      <c r="CT97" s="173"/>
      <c r="CU97" s="173"/>
      <c r="CV97" s="173"/>
      <c r="CW97" s="173"/>
      <c r="CX97" s="175"/>
      <c r="CY97" s="173"/>
      <c r="CZ97" s="173"/>
      <c r="DA97" s="173"/>
      <c r="DB97" s="173"/>
      <c r="DC97" s="173"/>
      <c r="DD97" s="173"/>
      <c r="DE97" s="173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3"/>
      <c r="DT97" s="173"/>
      <c r="DU97" s="173"/>
      <c r="DV97" s="173"/>
      <c r="DW97" s="173"/>
      <c r="DX97" s="173"/>
      <c r="DY97" s="173"/>
      <c r="DZ97" s="173"/>
      <c r="EA97" s="173"/>
      <c r="EB97" s="173"/>
      <c r="EC97" s="173"/>
      <c r="ED97" s="173"/>
      <c r="EE97" s="173"/>
      <c r="EF97" s="173"/>
      <c r="EG97" s="173"/>
      <c r="EH97" s="173"/>
      <c r="EI97" s="173"/>
      <c r="EJ97" s="173"/>
      <c r="EK97" s="173"/>
      <c r="EL97" s="173"/>
      <c r="EM97" s="173"/>
      <c r="EN97" s="173"/>
      <c r="EO97" s="173"/>
      <c r="EP97" s="173"/>
      <c r="EQ97" s="173"/>
      <c r="ER97" s="173"/>
      <c r="ES97" s="173"/>
      <c r="ET97" s="173"/>
      <c r="EU97" s="173"/>
      <c r="EV97" s="173"/>
      <c r="EW97" s="173"/>
      <c r="EX97" s="173"/>
      <c r="EY97" s="173"/>
      <c r="EZ97" s="173"/>
      <c r="FA97" s="173"/>
      <c r="FB97" s="173"/>
      <c r="FC97" s="173"/>
      <c r="FD97" s="173"/>
      <c r="FE97" s="173"/>
      <c r="FF97" s="173"/>
      <c r="FG97" s="173"/>
      <c r="FH97" s="173"/>
      <c r="FI97" s="173"/>
      <c r="FJ97" s="173"/>
      <c r="FK97" s="173"/>
      <c r="FL97" s="173"/>
      <c r="FM97" s="173"/>
      <c r="FN97" s="173"/>
      <c r="FO97" s="173"/>
      <c r="FP97" s="173"/>
      <c r="FQ97" s="173"/>
      <c r="FR97" s="173"/>
      <c r="FS97" s="173"/>
      <c r="FT97" s="173"/>
      <c r="FU97" s="173"/>
      <c r="FV97" s="173"/>
      <c r="FW97" s="173"/>
      <c r="FX97" s="173"/>
      <c r="FY97" s="173"/>
      <c r="FZ97" s="173"/>
      <c r="GA97" s="173"/>
      <c r="GB97" s="174"/>
      <c r="GC97" s="176"/>
      <c r="GD97" s="176"/>
      <c r="GE97" s="176"/>
      <c r="GF97" s="176"/>
      <c r="GG97" s="176"/>
      <c r="GH97" s="176"/>
      <c r="GI97" s="173"/>
      <c r="GJ97" s="173"/>
      <c r="GK97" s="173"/>
      <c r="GL97" s="173"/>
      <c r="GM97" s="173"/>
      <c r="GN97" s="173"/>
      <c r="GO97" s="173"/>
      <c r="GP97" s="173"/>
      <c r="GQ97" s="173"/>
      <c r="GR97" s="173"/>
      <c r="GS97" s="173"/>
      <c r="GT97" s="173"/>
      <c r="GU97" s="173"/>
      <c r="GV97" s="173"/>
      <c r="GW97" s="173"/>
      <c r="GX97" s="173"/>
      <c r="GY97" s="173"/>
      <c r="GZ97" s="173"/>
      <c r="HA97" s="173"/>
      <c r="HB97" s="173"/>
      <c r="HC97" s="173"/>
      <c r="HD97" s="173"/>
      <c r="HE97" s="173"/>
      <c r="HF97" s="173"/>
      <c r="HG97" s="173"/>
      <c r="HH97" s="173"/>
      <c r="HI97" s="174"/>
      <c r="HJ97" s="173"/>
      <c r="HK97" s="173"/>
      <c r="HL97" s="173"/>
      <c r="HM97" s="173"/>
      <c r="HN97" s="174"/>
      <c r="HO97" s="173"/>
      <c r="HP97" s="173"/>
      <c r="HQ97" s="173"/>
      <c r="HR97" s="173"/>
      <c r="HS97" s="173"/>
      <c r="HT97" s="173"/>
      <c r="HU97" s="173"/>
      <c r="HV97" s="173"/>
      <c r="HW97" s="173"/>
      <c r="HX97" s="173"/>
      <c r="HY97" s="173"/>
      <c r="HZ97" s="173"/>
      <c r="IA97" s="173"/>
      <c r="IB97" s="173"/>
      <c r="IC97" s="173"/>
      <c r="ID97" s="173"/>
      <c r="IE97" s="173"/>
      <c r="IF97" s="173"/>
      <c r="IG97" s="173"/>
      <c r="IH97" s="173"/>
      <c r="II97" s="173"/>
      <c r="IJ97" s="173"/>
      <c r="IK97" s="173"/>
      <c r="IL97" s="173"/>
      <c r="IM97" s="173"/>
      <c r="IN97" s="173"/>
      <c r="IO97" s="173"/>
      <c r="IP97" s="173"/>
      <c r="IQ97" s="173"/>
      <c r="IR97" s="173"/>
      <c r="IS97" s="173"/>
      <c r="IT97" s="173"/>
      <c r="IU97" s="173"/>
      <c r="IV97" s="173"/>
      <c r="IW97" s="173"/>
      <c r="IX97" s="173"/>
      <c r="IY97" s="173"/>
      <c r="IZ97" s="173"/>
      <c r="JA97" s="173"/>
      <c r="JB97" s="173"/>
      <c r="JC97" s="173"/>
      <c r="JD97" s="173"/>
    </row>
    <row collapsed="false" customFormat="false" customHeight="true" hidden="false" ht="12.75" outlineLevel="0" r="98">
      <c r="A98" s="133" t="s">
        <v>388</v>
      </c>
      <c r="B98" s="133"/>
      <c r="C98" s="134" t="n">
        <v>607</v>
      </c>
      <c r="D98" s="135" t="s">
        <v>389</v>
      </c>
      <c r="E98" s="135"/>
      <c r="F98" s="130" t="n">
        <v>0</v>
      </c>
      <c r="G98" s="130" t="n">
        <v>0</v>
      </c>
      <c r="H98" s="130" t="n">
        <v>3</v>
      </c>
      <c r="I98" s="102" t="n">
        <f aca="false">SUM(F98:H98)/3</f>
        <v>1</v>
      </c>
      <c r="J98" s="137"/>
      <c r="K98" s="137"/>
      <c r="BH98" s="4"/>
      <c r="BN98" s="4"/>
      <c r="BW98" s="29" t="n">
        <f aca="false">25*0</f>
        <v>0</v>
      </c>
      <c r="GJ98" s="4"/>
    </row>
    <row collapsed="false" customFormat="false" customHeight="true" hidden="false" ht="12.75" outlineLevel="0" r="99">
      <c r="A99" s="124" t="s">
        <v>385</v>
      </c>
      <c r="B99" s="124"/>
      <c r="C99" s="95" t="n">
        <v>335</v>
      </c>
      <c r="D99" s="125" t="s">
        <v>387</v>
      </c>
      <c r="E99" s="125"/>
      <c r="F99" s="126"/>
      <c r="G99" s="126"/>
      <c r="H99" s="126"/>
      <c r="I99" s="108" t="n">
        <v>0</v>
      </c>
      <c r="J99" s="137"/>
      <c r="K99" s="137"/>
      <c r="BH99" s="4"/>
      <c r="BN99" s="4"/>
      <c r="BW99" s="36" t="n">
        <f aca="false">25*$I99</f>
        <v>0</v>
      </c>
    </row>
    <row collapsed="false" customFormat="true" customHeight="true" hidden="false" ht="12.75" outlineLevel="0" r="100" s="4">
      <c r="A100" s="133" t="s">
        <v>390</v>
      </c>
      <c r="B100" s="133"/>
      <c r="C100" s="134" t="n">
        <v>1250</v>
      </c>
      <c r="D100" s="135" t="s">
        <v>391</v>
      </c>
      <c r="E100" s="135"/>
      <c r="F100" s="136" t="n">
        <v>0</v>
      </c>
      <c r="G100" s="136" t="n">
        <v>0</v>
      </c>
      <c r="H100" s="136" t="n">
        <v>3</v>
      </c>
      <c r="I100" s="102" t="n">
        <f aca="false">SUM(F100:H100)/3</f>
        <v>1</v>
      </c>
      <c r="J100" s="104"/>
      <c r="K100" s="104"/>
      <c r="R100" s="34"/>
      <c r="BN100" s="146" t="n">
        <f aca="false">0.95*25*I100</f>
        <v>23.75</v>
      </c>
      <c r="BW100" s="29" t="n">
        <f aca="false">25*I100</f>
        <v>25</v>
      </c>
      <c r="BX100" s="29" t="n">
        <f aca="false">100*I100</f>
        <v>100</v>
      </c>
      <c r="CX100" s="35"/>
      <c r="FV100" s="29" t="n">
        <f aca="false">0.9*25*$I100</f>
        <v>22.5</v>
      </c>
      <c r="GB100" s="34"/>
      <c r="GC100" s="116"/>
      <c r="GD100" s="116"/>
      <c r="GE100" s="116"/>
      <c r="GF100" s="116"/>
      <c r="GG100" s="116"/>
      <c r="GH100" s="116"/>
      <c r="GJ100" s="1"/>
      <c r="GN100" s="146" t="n">
        <f aca="false">0.35*3*I100</f>
        <v>1.05</v>
      </c>
      <c r="HI100" s="34"/>
      <c r="HN100" s="34"/>
      <c r="IR100" s="29" t="n">
        <f aca="false">25*I100</f>
        <v>25</v>
      </c>
      <c r="IT100" s="29" t="n">
        <f aca="false">25*I100</f>
        <v>25</v>
      </c>
      <c r="AMI100" s="0"/>
      <c r="AMJ100" s="0"/>
    </row>
    <row collapsed="false" customFormat="true" customHeight="true" hidden="false" ht="12.75" outlineLevel="0" r="101" s="4">
      <c r="A101" s="124" t="s">
        <v>390</v>
      </c>
      <c r="B101" s="124"/>
      <c r="C101" s="95" t="n">
        <v>1250</v>
      </c>
      <c r="D101" s="125" t="s">
        <v>391</v>
      </c>
      <c r="E101" s="125"/>
      <c r="F101" s="126" t="n">
        <v>0</v>
      </c>
      <c r="G101" s="126" t="n">
        <v>0</v>
      </c>
      <c r="H101" s="126" t="n">
        <v>2</v>
      </c>
      <c r="I101" s="108" t="n">
        <f aca="false">SUM(F101:H101)/3</f>
        <v>0.666666666666667</v>
      </c>
      <c r="J101" s="104"/>
      <c r="K101" s="104"/>
      <c r="R101" s="34"/>
      <c r="BN101" s="127" t="n">
        <f aca="false">0.95*25*I101</f>
        <v>15.8333333333333</v>
      </c>
      <c r="BW101" s="36" t="n">
        <f aca="false">25*I101</f>
        <v>16.6666666666667</v>
      </c>
      <c r="BX101" s="36" t="n">
        <f aca="false">100*I101</f>
        <v>66.6666666666667</v>
      </c>
      <c r="CX101" s="35"/>
      <c r="FV101" s="36" t="n">
        <f aca="false">0.9*25*$I101</f>
        <v>15</v>
      </c>
      <c r="GB101" s="34"/>
      <c r="GC101" s="116"/>
      <c r="GD101" s="116"/>
      <c r="GE101" s="116"/>
      <c r="GF101" s="116"/>
      <c r="GG101" s="116"/>
      <c r="GH101" s="116"/>
      <c r="GJ101" s="1"/>
      <c r="GN101" s="127" t="n">
        <f aca="false">0.35*3*I101</f>
        <v>0.7</v>
      </c>
      <c r="HI101" s="34"/>
      <c r="HN101" s="34"/>
      <c r="IR101" s="36" t="n">
        <f aca="false">25*I101</f>
        <v>16.6666666666667</v>
      </c>
      <c r="IT101" s="36" t="n">
        <f aca="false">25*I101</f>
        <v>16.6666666666667</v>
      </c>
      <c r="AMI101" s="0"/>
      <c r="AMJ101" s="0"/>
    </row>
    <row collapsed="false" customFormat="true" customHeight="true" hidden="false" ht="12.75" outlineLevel="0" r="102" s="4">
      <c r="A102" s="133" t="s">
        <v>392</v>
      </c>
      <c r="B102" s="133"/>
      <c r="C102" s="134" t="n">
        <v>1272</v>
      </c>
      <c r="D102" s="135" t="s">
        <v>360</v>
      </c>
      <c r="E102" s="135"/>
      <c r="F102" s="136" t="n">
        <v>0</v>
      </c>
      <c r="G102" s="136" t="n">
        <f aca="false">2*2</f>
        <v>4</v>
      </c>
      <c r="H102" s="136" t="n">
        <v>0</v>
      </c>
      <c r="I102" s="102" t="n">
        <f aca="false">SUM(F102:H102)/3</f>
        <v>1.33333333333333</v>
      </c>
      <c r="J102" s="104"/>
      <c r="K102" s="104"/>
      <c r="R102" s="34"/>
      <c r="CX102" s="35"/>
      <c r="GB102" s="34"/>
      <c r="GC102" s="116"/>
      <c r="GD102" s="116"/>
      <c r="GE102" s="116"/>
      <c r="GF102" s="116"/>
      <c r="GG102" s="116"/>
      <c r="GH102" s="116"/>
      <c r="GJ102" s="1"/>
      <c r="HI102" s="34"/>
      <c r="HN102" s="34"/>
      <c r="AMI102" s="0"/>
      <c r="AMJ102" s="0"/>
    </row>
    <row collapsed="false" customFormat="true" customHeight="true" hidden="false" ht="12.75" outlineLevel="0" r="103" s="4">
      <c r="A103" s="124" t="s">
        <v>392</v>
      </c>
      <c r="B103" s="124"/>
      <c r="C103" s="95" t="n">
        <v>1272</v>
      </c>
      <c r="D103" s="125" t="s">
        <v>360</v>
      </c>
      <c r="E103" s="125"/>
      <c r="F103" s="126" t="n">
        <v>0</v>
      </c>
      <c r="G103" s="126" t="n">
        <f aca="false">2*2</f>
        <v>4</v>
      </c>
      <c r="H103" s="126" t="n">
        <v>0</v>
      </c>
      <c r="I103" s="108" t="n">
        <f aca="false">SUM(F103:H103)/3</f>
        <v>1.33333333333333</v>
      </c>
      <c r="J103" s="104"/>
      <c r="K103" s="104"/>
      <c r="R103" s="34"/>
      <c r="CX103" s="35"/>
      <c r="GB103" s="34"/>
      <c r="GC103" s="116"/>
      <c r="GD103" s="116"/>
      <c r="GE103" s="116"/>
      <c r="GF103" s="116"/>
      <c r="GG103" s="116"/>
      <c r="GH103" s="116"/>
      <c r="GJ103" s="1"/>
      <c r="HI103" s="34"/>
      <c r="HN103" s="34"/>
      <c r="AMI103" s="0"/>
      <c r="AMJ103" s="0"/>
    </row>
    <row collapsed="false" customFormat="true" customHeight="true" hidden="false" ht="12.75" outlineLevel="0" r="104" s="224">
      <c r="A104" s="218" t="s">
        <v>393</v>
      </c>
      <c r="B104" s="218"/>
      <c r="C104" s="219" t="n">
        <v>114</v>
      </c>
      <c r="D104" s="220" t="s">
        <v>301</v>
      </c>
      <c r="E104" s="220"/>
      <c r="F104" s="221"/>
      <c r="G104" s="221"/>
      <c r="H104" s="221"/>
      <c r="I104" s="222" t="n">
        <f aca="false">0.084*2/3</f>
        <v>0.056</v>
      </c>
      <c r="J104" s="223"/>
      <c r="K104" s="223"/>
      <c r="R104" s="225"/>
      <c r="BY104" s="224" t="n">
        <f aca="false">1000*I104</f>
        <v>56</v>
      </c>
      <c r="CX104" s="226"/>
      <c r="GB104" s="225"/>
      <c r="GC104" s="227"/>
      <c r="GD104" s="227"/>
      <c r="GE104" s="227"/>
      <c r="GF104" s="227"/>
      <c r="GG104" s="227"/>
      <c r="GH104" s="227"/>
      <c r="HI104" s="225"/>
      <c r="HN104" s="225"/>
      <c r="AMI104" s="228"/>
      <c r="AMJ104" s="228"/>
    </row>
    <row collapsed="false" customFormat="true" customHeight="true" hidden="false" ht="12.75" outlineLevel="0" r="105" s="224">
      <c r="A105" s="218" t="s">
        <v>393</v>
      </c>
      <c r="B105" s="218"/>
      <c r="C105" s="219" t="n">
        <v>114</v>
      </c>
      <c r="D105" s="220" t="s">
        <v>301</v>
      </c>
      <c r="E105" s="220"/>
      <c r="F105" s="221"/>
      <c r="G105" s="221"/>
      <c r="H105" s="221"/>
      <c r="I105" s="222" t="n">
        <f aca="false">0.056*2/3</f>
        <v>0.0373333333333333</v>
      </c>
      <c r="J105" s="223"/>
      <c r="K105" s="223"/>
      <c r="R105" s="225"/>
      <c r="BY105" s="229" t="n">
        <f aca="false">1000*I105</f>
        <v>37.3333333333333</v>
      </c>
      <c r="CX105" s="226"/>
      <c r="GB105" s="225"/>
      <c r="GC105" s="227"/>
      <c r="GD105" s="227"/>
      <c r="GE105" s="227"/>
      <c r="GF105" s="227"/>
      <c r="GG105" s="227"/>
      <c r="GH105" s="227"/>
      <c r="HI105" s="225"/>
      <c r="HN105" s="225"/>
      <c r="AMI105" s="228"/>
      <c r="AMJ105" s="228"/>
    </row>
    <row collapsed="false" customFormat="false" customHeight="true" hidden="false" ht="12.75" outlineLevel="0" r="106">
      <c r="A106" s="133" t="s">
        <v>394</v>
      </c>
      <c r="B106" s="133"/>
      <c r="C106" s="134" t="n">
        <v>972</v>
      </c>
      <c r="D106" s="135" t="s">
        <v>395</v>
      </c>
      <c r="E106" s="135"/>
      <c r="F106" s="136" t="n">
        <v>0</v>
      </c>
      <c r="G106" s="136" t="n">
        <f aca="false">6*2</f>
        <v>12</v>
      </c>
      <c r="H106" s="136" t="n">
        <v>0</v>
      </c>
      <c r="I106" s="102" t="n">
        <f aca="false">SUM(F106:H106)/3</f>
        <v>4</v>
      </c>
      <c r="J106" s="137"/>
      <c r="K106" s="137"/>
      <c r="BY106" s="4"/>
      <c r="BZ106" s="4"/>
      <c r="CA106" s="4"/>
      <c r="GJ106" s="4"/>
      <c r="GP106" s="29" t="n">
        <f aca="false">I106*1000</f>
        <v>4000</v>
      </c>
    </row>
    <row collapsed="false" customFormat="false" customHeight="true" hidden="false" ht="12.75" outlineLevel="0" r="107">
      <c r="A107" s="124" t="s">
        <v>394</v>
      </c>
      <c r="B107" s="124"/>
      <c r="C107" s="95" t="n">
        <v>972</v>
      </c>
      <c r="D107" s="125" t="s">
        <v>395</v>
      </c>
      <c r="E107" s="125"/>
      <c r="F107" s="126" t="n">
        <v>0</v>
      </c>
      <c r="G107" s="126" t="n">
        <f aca="false">4*2</f>
        <v>8</v>
      </c>
      <c r="H107" s="126" t="n">
        <v>0</v>
      </c>
      <c r="I107" s="108" t="n">
        <f aca="false">SUM(F107:H107)/3</f>
        <v>2.66666666666667</v>
      </c>
      <c r="J107" s="137"/>
      <c r="K107" s="137"/>
      <c r="BY107" s="4"/>
      <c r="BZ107" s="4"/>
      <c r="CA107" s="4"/>
      <c r="GP107" s="127" t="n">
        <f aca="false">I107*1000</f>
        <v>2666.66666666667</v>
      </c>
    </row>
    <row collapsed="false" customFormat="true" customHeight="true" hidden="false" ht="12.75" outlineLevel="0" r="108" s="173">
      <c r="A108" s="167" t="s">
        <v>396</v>
      </c>
      <c r="B108" s="167"/>
      <c r="C108" s="168" t="n">
        <v>22</v>
      </c>
      <c r="D108" s="169" t="s">
        <v>307</v>
      </c>
      <c r="E108" s="169"/>
      <c r="F108" s="170"/>
      <c r="G108" s="170"/>
      <c r="H108" s="170"/>
      <c r="I108" s="171" t="n">
        <v>0</v>
      </c>
      <c r="J108" s="185"/>
      <c r="K108" s="185"/>
      <c r="R108" s="174"/>
      <c r="CB108" s="173" t="n">
        <f aca="false">0.37*I108*1000</f>
        <v>0</v>
      </c>
      <c r="CX108" s="175"/>
      <c r="GB108" s="174"/>
      <c r="GC108" s="176"/>
      <c r="GD108" s="176"/>
      <c r="GE108" s="176"/>
      <c r="GF108" s="176"/>
      <c r="GG108" s="176"/>
      <c r="GH108" s="176"/>
      <c r="HI108" s="174"/>
      <c r="HN108" s="174"/>
      <c r="AMI108" s="178"/>
      <c r="AMJ108" s="178"/>
    </row>
    <row collapsed="false" customFormat="true" customHeight="true" hidden="false" ht="12.75" outlineLevel="0" r="109" s="178">
      <c r="A109" s="167" t="s">
        <v>396</v>
      </c>
      <c r="B109" s="167"/>
      <c r="C109" s="168" t="n">
        <v>22</v>
      </c>
      <c r="D109" s="169" t="s">
        <v>307</v>
      </c>
      <c r="E109" s="169"/>
      <c r="F109" s="170"/>
      <c r="G109" s="170"/>
      <c r="H109" s="170"/>
      <c r="I109" s="171" t="n">
        <v>0</v>
      </c>
      <c r="J109" s="185"/>
      <c r="K109" s="185"/>
      <c r="L109" s="173"/>
      <c r="M109" s="173"/>
      <c r="N109" s="173"/>
      <c r="O109" s="173"/>
      <c r="P109" s="173"/>
      <c r="Q109" s="173"/>
      <c r="R109" s="174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7" t="n">
        <f aca="false">0.37*I109*1000</f>
        <v>0</v>
      </c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5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173"/>
      <c r="EO109" s="173"/>
      <c r="EP109" s="173"/>
      <c r="EQ109" s="173"/>
      <c r="ER109" s="173"/>
      <c r="ES109" s="173"/>
      <c r="ET109" s="173"/>
      <c r="EU109" s="173"/>
      <c r="EV109" s="173"/>
      <c r="EW109" s="173"/>
      <c r="EX109" s="173"/>
      <c r="EY109" s="173"/>
      <c r="EZ109" s="173"/>
      <c r="FA109" s="173"/>
      <c r="FB109" s="173"/>
      <c r="FC109" s="173"/>
      <c r="FD109" s="173"/>
      <c r="FE109" s="173"/>
      <c r="FF109" s="173"/>
      <c r="FG109" s="173"/>
      <c r="FH109" s="173"/>
      <c r="FI109" s="173"/>
      <c r="FJ109" s="173"/>
      <c r="FK109" s="173"/>
      <c r="FL109" s="173"/>
      <c r="FM109" s="173"/>
      <c r="FN109" s="173"/>
      <c r="FO109" s="173"/>
      <c r="FP109" s="173"/>
      <c r="FQ109" s="173"/>
      <c r="FR109" s="173"/>
      <c r="FS109" s="173"/>
      <c r="FT109" s="173"/>
      <c r="FU109" s="173"/>
      <c r="FV109" s="173"/>
      <c r="FW109" s="173"/>
      <c r="FX109" s="173"/>
      <c r="FY109" s="173"/>
      <c r="FZ109" s="173"/>
      <c r="GA109" s="173"/>
      <c r="GB109" s="174"/>
      <c r="GC109" s="176"/>
      <c r="GD109" s="176"/>
      <c r="GE109" s="176"/>
      <c r="GF109" s="176"/>
      <c r="GG109" s="176"/>
      <c r="GH109" s="176"/>
      <c r="GI109" s="173"/>
      <c r="GJ109" s="173"/>
      <c r="GK109" s="173"/>
      <c r="GL109" s="173"/>
      <c r="GM109" s="173"/>
      <c r="GN109" s="173"/>
      <c r="GO109" s="173"/>
      <c r="GP109" s="173"/>
      <c r="GQ109" s="173"/>
      <c r="GR109" s="173"/>
      <c r="GS109" s="173"/>
      <c r="GT109" s="173"/>
      <c r="GU109" s="173"/>
      <c r="GV109" s="173"/>
      <c r="GW109" s="173"/>
      <c r="GX109" s="173"/>
      <c r="GY109" s="173"/>
      <c r="GZ109" s="173"/>
      <c r="HA109" s="173"/>
      <c r="HB109" s="173"/>
      <c r="HC109" s="173"/>
      <c r="HD109" s="173"/>
      <c r="HE109" s="173"/>
      <c r="HF109" s="173"/>
      <c r="HG109" s="173"/>
      <c r="HH109" s="173"/>
      <c r="HI109" s="174"/>
      <c r="HJ109" s="173"/>
      <c r="HK109" s="173"/>
      <c r="HL109" s="173"/>
      <c r="HM109" s="173"/>
      <c r="HN109" s="174"/>
      <c r="HO109" s="173"/>
      <c r="HP109" s="173"/>
      <c r="HQ109" s="173"/>
      <c r="HR109" s="173"/>
      <c r="HS109" s="173"/>
      <c r="HT109" s="173"/>
      <c r="HU109" s="173"/>
      <c r="HV109" s="173"/>
      <c r="HW109" s="173"/>
      <c r="HX109" s="173"/>
      <c r="HY109" s="173"/>
      <c r="HZ109" s="173"/>
      <c r="IA109" s="173"/>
      <c r="IB109" s="173"/>
      <c r="IC109" s="173"/>
      <c r="ID109" s="173"/>
      <c r="IE109" s="173"/>
      <c r="IF109" s="173"/>
      <c r="IG109" s="173"/>
      <c r="IH109" s="173"/>
      <c r="II109" s="173"/>
      <c r="IJ109" s="173"/>
      <c r="IK109" s="173"/>
      <c r="IL109" s="173"/>
      <c r="IM109" s="173"/>
      <c r="IN109" s="173"/>
      <c r="IO109" s="173"/>
      <c r="IP109" s="173"/>
      <c r="IQ109" s="173"/>
      <c r="IR109" s="173"/>
      <c r="IS109" s="173"/>
      <c r="IT109" s="173"/>
      <c r="IU109" s="173"/>
      <c r="IV109" s="173"/>
      <c r="IW109" s="173"/>
      <c r="IX109" s="173"/>
      <c r="IY109" s="173"/>
      <c r="IZ109" s="173"/>
      <c r="JA109" s="173"/>
      <c r="JB109" s="173"/>
      <c r="JC109" s="173"/>
      <c r="JD109" s="173"/>
    </row>
    <row collapsed="false" customFormat="true" customHeight="true" hidden="false" ht="12.75" outlineLevel="0" r="110" s="4">
      <c r="A110" s="128" t="s">
        <v>397</v>
      </c>
      <c r="B110" s="128"/>
      <c r="C110" s="91" t="n">
        <v>257</v>
      </c>
      <c r="D110" s="129" t="s">
        <v>398</v>
      </c>
      <c r="E110" s="129"/>
      <c r="F110" s="130" t="n">
        <f aca="false">2+3</f>
        <v>5</v>
      </c>
      <c r="G110" s="130" t="n">
        <f aca="false">3+2</f>
        <v>5</v>
      </c>
      <c r="H110" s="130" t="n">
        <f aca="false">3*3</f>
        <v>9</v>
      </c>
      <c r="I110" s="131" t="n">
        <f aca="false">SUM(F110:H110)/3</f>
        <v>6.33333333333333</v>
      </c>
      <c r="J110" s="104"/>
      <c r="K110" s="104"/>
      <c r="R110" s="34"/>
      <c r="CB110" s="148" t="n">
        <f aca="false">150*$I110*0.37</f>
        <v>351.5</v>
      </c>
      <c r="CX110" s="35"/>
      <c r="GB110" s="34"/>
      <c r="GC110" s="116"/>
      <c r="GD110" s="116"/>
      <c r="GE110" s="116"/>
      <c r="GF110" s="116"/>
      <c r="GG110" s="116"/>
      <c r="GH110" s="116"/>
      <c r="HI110" s="34"/>
      <c r="HN110" s="34"/>
      <c r="AMI110" s="0"/>
      <c r="AMJ110" s="0"/>
    </row>
    <row collapsed="false" customFormat="true" customHeight="true" hidden="false" ht="12.75" outlineLevel="0" r="111" s="4">
      <c r="A111" s="124" t="s">
        <v>397</v>
      </c>
      <c r="B111" s="124"/>
      <c r="C111" s="95" t="n">
        <v>257</v>
      </c>
      <c r="D111" s="125" t="s">
        <v>398</v>
      </c>
      <c r="E111" s="125"/>
      <c r="F111" s="126" t="n">
        <f aca="false">2+1</f>
        <v>3</v>
      </c>
      <c r="G111" s="126" t="n">
        <f aca="false">2*2</f>
        <v>4</v>
      </c>
      <c r="H111" s="126" t="n">
        <f aca="false">2*3</f>
        <v>6</v>
      </c>
      <c r="I111" s="108" t="n">
        <f aca="false">SUM(F111:H111)/3</f>
        <v>4.33333333333333</v>
      </c>
      <c r="J111" s="104"/>
      <c r="K111" s="104"/>
      <c r="R111" s="34"/>
      <c r="CB111" s="127" t="n">
        <f aca="false">150*$I111*0.37</f>
        <v>240.5</v>
      </c>
      <c r="CX111" s="35"/>
      <c r="GB111" s="34"/>
      <c r="GC111" s="116"/>
      <c r="GD111" s="116"/>
      <c r="GE111" s="116"/>
      <c r="GF111" s="116"/>
      <c r="GG111" s="116"/>
      <c r="GH111" s="116"/>
      <c r="GJ111" s="1"/>
      <c r="HI111" s="34"/>
      <c r="HN111" s="34"/>
      <c r="AMI111" s="0"/>
      <c r="AMJ111" s="0"/>
    </row>
    <row collapsed="false" customFormat="true" customHeight="true" hidden="false" ht="12.75" outlineLevel="0" r="112" s="4">
      <c r="A112" s="110" t="s">
        <v>399</v>
      </c>
      <c r="B112" s="110"/>
      <c r="C112" s="111" t="n">
        <v>1547</v>
      </c>
      <c r="D112" s="112" t="s">
        <v>277</v>
      </c>
      <c r="E112" s="112"/>
      <c r="F112" s="113" t="n">
        <v>0</v>
      </c>
      <c r="G112" s="113" t="n">
        <v>2</v>
      </c>
      <c r="H112" s="113" t="n">
        <v>0</v>
      </c>
      <c r="I112" s="114" t="n">
        <f aca="false">SUM(F112:H112)/3</f>
        <v>0.666666666666667</v>
      </c>
      <c r="J112" s="104"/>
      <c r="K112" s="104"/>
      <c r="R112" s="34"/>
      <c r="AO112" s="115" t="n">
        <f aca="false">225*I112</f>
        <v>150</v>
      </c>
      <c r="BB112" s="115" t="n">
        <f aca="false">20*I112</f>
        <v>13.3333333333333</v>
      </c>
      <c r="BI112" s="115" t="n">
        <f aca="false">0*I112</f>
        <v>0</v>
      </c>
      <c r="BJ112" s="115"/>
      <c r="BN112" s="4" t="n">
        <f aca="false">285*I112</f>
        <v>190</v>
      </c>
      <c r="CX112" s="35"/>
      <c r="DE112" s="115" t="n">
        <f aca="false">0*AO112</f>
        <v>0</v>
      </c>
      <c r="EX112" s="4" t="n">
        <f aca="false">100*$I112</f>
        <v>66.6666666666667</v>
      </c>
      <c r="GB112" s="34"/>
      <c r="GC112" s="116"/>
      <c r="GD112" s="116"/>
      <c r="GE112" s="116"/>
      <c r="GF112" s="116"/>
      <c r="GG112" s="116"/>
      <c r="GH112" s="116"/>
      <c r="GJ112" s="1"/>
      <c r="HI112" s="34"/>
      <c r="HN112" s="34"/>
      <c r="JF112" s="4" t="n">
        <f aca="false">50*$I112</f>
        <v>33.3333333333333</v>
      </c>
      <c r="JG112" s="4" t="n">
        <f aca="false">100*$I112</f>
        <v>66.6666666666667</v>
      </c>
      <c r="AMI112" s="0"/>
      <c r="AMJ112" s="0"/>
    </row>
    <row collapsed="false" customFormat="true" customHeight="true" hidden="false" ht="12.75" outlineLevel="0" r="113" s="4">
      <c r="A113" s="110" t="s">
        <v>400</v>
      </c>
      <c r="B113" s="110"/>
      <c r="C113" s="111" t="n">
        <v>388</v>
      </c>
      <c r="D113" s="112" t="s">
        <v>401</v>
      </c>
      <c r="E113" s="112"/>
      <c r="F113" s="113" t="n">
        <v>2</v>
      </c>
      <c r="G113" s="113" t="n">
        <v>2</v>
      </c>
      <c r="H113" s="113" t="n">
        <v>3</v>
      </c>
      <c r="I113" s="114" t="n">
        <f aca="false">SUM(F113:H113)/3</f>
        <v>2.33333333333333</v>
      </c>
      <c r="J113" s="104"/>
      <c r="K113" s="104"/>
      <c r="R113" s="34"/>
      <c r="CD113" s="115" t="n">
        <f aca="false">250*I113</f>
        <v>583.333333333333</v>
      </c>
      <c r="CX113" s="35"/>
      <c r="GB113" s="34"/>
      <c r="GC113" s="116"/>
      <c r="GD113" s="116"/>
      <c r="GE113" s="116"/>
      <c r="GF113" s="116"/>
      <c r="GG113" s="116"/>
      <c r="GH113" s="116"/>
      <c r="GJ113" s="1"/>
      <c r="HI113" s="34"/>
      <c r="HN113" s="34"/>
      <c r="AMI113" s="0"/>
      <c r="AMJ113" s="0"/>
    </row>
    <row collapsed="false" customFormat="true" customHeight="true" hidden="false" ht="12.75" outlineLevel="0" r="114" s="4">
      <c r="A114" s="133" t="s">
        <v>402</v>
      </c>
      <c r="B114" s="133"/>
      <c r="C114" s="134" t="n">
        <v>1024</v>
      </c>
      <c r="D114" s="133" t="s">
        <v>403</v>
      </c>
      <c r="E114" s="133"/>
      <c r="F114" s="190" t="n">
        <v>0</v>
      </c>
      <c r="G114" s="190" t="n">
        <f aca="false">2*2</f>
        <v>4</v>
      </c>
      <c r="H114" s="190" t="n">
        <v>0</v>
      </c>
      <c r="I114" s="102" t="n">
        <f aca="false">SUM(F114:H114)/3</f>
        <v>1.33333333333333</v>
      </c>
      <c r="J114" s="104"/>
      <c r="K114" s="104"/>
      <c r="R114" s="34"/>
      <c r="CD114" s="115"/>
      <c r="CE114" s="29" t="n">
        <f aca="false">500*$I114</f>
        <v>666.666666666667</v>
      </c>
      <c r="CX114" s="35"/>
      <c r="GB114" s="34"/>
      <c r="GC114" s="116"/>
      <c r="GD114" s="116"/>
      <c r="GE114" s="116"/>
      <c r="GF114" s="116"/>
      <c r="GG114" s="116"/>
      <c r="GH114" s="116"/>
      <c r="GJ114" s="1"/>
      <c r="HI114" s="34"/>
      <c r="HN114" s="34"/>
      <c r="AMI114" s="0"/>
      <c r="AMJ114" s="0"/>
    </row>
    <row collapsed="false" customFormat="true" customHeight="true" hidden="false" ht="12.75" outlineLevel="0" r="115" s="4">
      <c r="A115" s="124" t="s">
        <v>402</v>
      </c>
      <c r="B115" s="124"/>
      <c r="C115" s="95" t="n">
        <v>1024</v>
      </c>
      <c r="D115" s="124" t="s">
        <v>403</v>
      </c>
      <c r="E115" s="124"/>
      <c r="F115" s="193" t="n">
        <v>0</v>
      </c>
      <c r="G115" s="193" t="n">
        <v>0</v>
      </c>
      <c r="H115" s="193" t="n">
        <v>3</v>
      </c>
      <c r="I115" s="108" t="n">
        <f aca="false">SUM(F115:H115)/3</f>
        <v>1</v>
      </c>
      <c r="J115" s="104"/>
      <c r="K115" s="104"/>
      <c r="R115" s="34"/>
      <c r="CD115" s="115"/>
      <c r="CE115" s="36" t="n">
        <f aca="false">500*$I115</f>
        <v>500</v>
      </c>
      <c r="CX115" s="35"/>
      <c r="GB115" s="34"/>
      <c r="GC115" s="116"/>
      <c r="GD115" s="116"/>
      <c r="GE115" s="116"/>
      <c r="GF115" s="116"/>
      <c r="GG115" s="116"/>
      <c r="GH115" s="116"/>
      <c r="GJ115" s="1"/>
      <c r="HI115" s="34"/>
      <c r="HN115" s="34"/>
      <c r="AMI115" s="0"/>
      <c r="AMJ115" s="0"/>
    </row>
    <row collapsed="false" customFormat="true" customHeight="true" hidden="false" ht="12.75" outlineLevel="0" r="116" s="4">
      <c r="A116" s="133" t="s">
        <v>404</v>
      </c>
      <c r="B116" s="133"/>
      <c r="C116" s="134" t="n">
        <v>1498</v>
      </c>
      <c r="D116" s="135" t="s">
        <v>296</v>
      </c>
      <c r="E116" s="135"/>
      <c r="F116" s="136" t="n">
        <f aca="false">3*2</f>
        <v>6</v>
      </c>
      <c r="G116" s="230"/>
      <c r="H116" s="136" t="n">
        <v>0</v>
      </c>
      <c r="I116" s="102" t="n">
        <f aca="false">SUM(F116:H116)/3</f>
        <v>2</v>
      </c>
      <c r="J116" s="104"/>
      <c r="K116" s="104"/>
      <c r="R116" s="34"/>
      <c r="BG116" s="29" t="n">
        <f aca="false">112/2*I116</f>
        <v>112</v>
      </c>
      <c r="CX116" s="35"/>
      <c r="DF116" s="29" t="n">
        <f aca="false">500/2*I116</f>
        <v>500</v>
      </c>
      <c r="FV116" s="29" t="n">
        <f aca="false">0*112/2*I116</f>
        <v>0</v>
      </c>
      <c r="FX116" s="29" t="n">
        <f aca="false">(400+100+137.5)/2*I116</f>
        <v>637.5</v>
      </c>
      <c r="GB116" s="34"/>
      <c r="GC116" s="116"/>
      <c r="GD116" s="116"/>
      <c r="GE116" s="116"/>
      <c r="GF116" s="116"/>
      <c r="GG116" s="231" t="n">
        <f aca="false">0.3*400/2*I116</f>
        <v>120</v>
      </c>
      <c r="GH116" s="231" t="n">
        <f aca="false">0.22*137.5/2*I116</f>
        <v>30.25</v>
      </c>
      <c r="GJ116" s="1"/>
      <c r="HI116" s="34"/>
      <c r="HN116" s="34"/>
      <c r="AMI116" s="0"/>
      <c r="AMJ116" s="0"/>
    </row>
    <row collapsed="false" customFormat="true" customHeight="true" hidden="false" ht="12.75" outlineLevel="0" r="117" s="4">
      <c r="A117" s="124" t="s">
        <v>404</v>
      </c>
      <c r="B117" s="124"/>
      <c r="C117" s="95" t="n">
        <v>1498</v>
      </c>
      <c r="D117" s="125" t="s">
        <v>296</v>
      </c>
      <c r="E117" s="125"/>
      <c r="F117" s="126" t="n">
        <f aca="false">2*2</f>
        <v>4</v>
      </c>
      <c r="G117" s="232"/>
      <c r="H117" s="126" t="n">
        <v>0</v>
      </c>
      <c r="I117" s="108" t="n">
        <f aca="false">SUM(F117:H117)/3</f>
        <v>1.33333333333333</v>
      </c>
      <c r="J117" s="104"/>
      <c r="K117" s="104"/>
      <c r="R117" s="34"/>
      <c r="BG117" s="127" t="n">
        <f aca="false">112/2*I117</f>
        <v>74.6666666666667</v>
      </c>
      <c r="CX117" s="35"/>
      <c r="DF117" s="127" t="n">
        <f aca="false">500/2*I117</f>
        <v>333.333333333333</v>
      </c>
      <c r="FV117" s="36" t="n">
        <f aca="false">0*112/2*I117</f>
        <v>0</v>
      </c>
      <c r="FX117" s="127" t="n">
        <f aca="false">(400+100)/2*I117</f>
        <v>333.333333333333</v>
      </c>
      <c r="GB117" s="34"/>
      <c r="GC117" s="116"/>
      <c r="GD117" s="116"/>
      <c r="GE117" s="116"/>
      <c r="GF117" s="116"/>
      <c r="GG117" s="187" t="n">
        <f aca="false">0.3*400/2*I117</f>
        <v>80</v>
      </c>
      <c r="GH117" s="187" t="n">
        <f aca="false">0.22*137.5/2*I117</f>
        <v>20.1666666666667</v>
      </c>
      <c r="GJ117" s="1"/>
      <c r="HI117" s="34"/>
      <c r="HN117" s="34"/>
      <c r="AMI117" s="0"/>
      <c r="AMJ117" s="0"/>
    </row>
    <row collapsed="false" customFormat="false" customHeight="false" hidden="false" ht="19.4" outlineLevel="0" r="118">
      <c r="A118" s="141" t="s">
        <v>405</v>
      </c>
      <c r="B118" s="141"/>
      <c r="C118" s="179" t="n">
        <v>1482</v>
      </c>
      <c r="D118" s="143" t="s">
        <v>406</v>
      </c>
      <c r="E118" s="143"/>
      <c r="F118" s="144" t="n">
        <v>0</v>
      </c>
      <c r="G118" s="144" t="n">
        <f aca="false">5*2</f>
        <v>10</v>
      </c>
      <c r="H118" s="144" t="n">
        <v>0</v>
      </c>
      <c r="I118" s="102" t="n">
        <f aca="false">SUM(F118:H118)/3</f>
        <v>3.33333333333333</v>
      </c>
      <c r="J118" s="137"/>
      <c r="K118" s="137"/>
      <c r="BH118" s="4"/>
      <c r="BV118" s="145" t="n">
        <f aca="false">500/2*$I118</f>
        <v>833.333333333333</v>
      </c>
      <c r="CI118" s="145" t="n">
        <f aca="false">700/2*$I118</f>
        <v>1166.66666666667</v>
      </c>
      <c r="FE118" s="181" t="n">
        <f aca="false">300/2*I118</f>
        <v>500</v>
      </c>
      <c r="FV118" s="4"/>
      <c r="FW118" s="4"/>
      <c r="FX118" s="4"/>
      <c r="GO118" s="233"/>
      <c r="GS118" s="29" t="n">
        <f aca="false">0/2*I118</f>
        <v>0</v>
      </c>
      <c r="HE118" s="181" t="n">
        <f aca="false">10/2*$I118</f>
        <v>16.6666666666667</v>
      </c>
      <c r="IT118" s="234"/>
    </row>
    <row collapsed="false" customFormat="false" customHeight="false" hidden="false" ht="19.4" outlineLevel="0" r="119">
      <c r="A119" s="124" t="s">
        <v>405</v>
      </c>
      <c r="B119" s="124"/>
      <c r="C119" s="95" t="n">
        <v>1482</v>
      </c>
      <c r="D119" s="125" t="s">
        <v>406</v>
      </c>
      <c r="E119" s="125"/>
      <c r="F119" s="126" t="n">
        <v>0</v>
      </c>
      <c r="G119" s="126" t="n">
        <f aca="false">4*2</f>
        <v>8</v>
      </c>
      <c r="H119" s="126" t="n">
        <v>0</v>
      </c>
      <c r="I119" s="108" t="n">
        <f aca="false">SUM(F119:H119)/3</f>
        <v>2.66666666666667</v>
      </c>
      <c r="J119" s="137"/>
      <c r="K119" s="137"/>
      <c r="BH119" s="4"/>
      <c r="BV119" s="127" t="n">
        <f aca="false">500/2*$I119</f>
        <v>666.666666666667</v>
      </c>
      <c r="CI119" s="127" t="n">
        <f aca="false">700/2*$I119</f>
        <v>933.333333333333</v>
      </c>
      <c r="FE119" s="36" t="n">
        <f aca="false">300/2*I119</f>
        <v>400</v>
      </c>
      <c r="FV119" s="4"/>
      <c r="FW119" s="4"/>
      <c r="FX119" s="4"/>
      <c r="GS119" s="36" t="n">
        <f aca="false">0/2*I119</f>
        <v>0</v>
      </c>
      <c r="HE119" s="127" t="n">
        <f aca="false">10/2*$I119</f>
        <v>13.3333333333333</v>
      </c>
    </row>
    <row collapsed="false" customFormat="false" customHeight="true" hidden="false" ht="12.75" outlineLevel="0" r="120">
      <c r="A120" s="133" t="s">
        <v>407</v>
      </c>
      <c r="B120" s="133"/>
      <c r="C120" s="134" t="n">
        <v>712</v>
      </c>
      <c r="D120" s="135" t="s">
        <v>408</v>
      </c>
      <c r="E120" s="135"/>
      <c r="F120" s="136" t="n">
        <f aca="false">2</f>
        <v>2</v>
      </c>
      <c r="G120" s="136" t="n">
        <v>0</v>
      </c>
      <c r="H120" s="136" t="n">
        <v>0</v>
      </c>
      <c r="I120" s="102" t="n">
        <f aca="false">SUM(F120:H120)/3</f>
        <v>0.666666666666667</v>
      </c>
      <c r="J120" s="137"/>
      <c r="K120" s="137"/>
      <c r="AM120" s="146" t="n">
        <f aca="false">20*$I120</f>
        <v>13.3333333333333</v>
      </c>
      <c r="AO120" s="29" t="n">
        <f aca="false">300/2*$I120</f>
        <v>100</v>
      </c>
      <c r="BS120" s="146" t="n">
        <f aca="false">24.97*$I120</f>
        <v>16.6466666666667</v>
      </c>
      <c r="CC120" s="146" t="n">
        <f aca="false">25/2*$I120</f>
        <v>8.33333333333333</v>
      </c>
      <c r="CD120" s="4"/>
      <c r="CZ120" s="4"/>
      <c r="DN120" s="4"/>
      <c r="DO120" s="4"/>
      <c r="EF120" s="146" t="n">
        <f aca="false">25/2*$I120</f>
        <v>8.33333333333333</v>
      </c>
      <c r="EG120" s="4"/>
      <c r="EH120" s="4"/>
      <c r="FD120" s="29" t="n">
        <f aca="false">30/2*$I120</f>
        <v>10</v>
      </c>
      <c r="FX120" s="29" t="n">
        <f aca="false">200/2*$I120</f>
        <v>66.6666666666667</v>
      </c>
      <c r="HM120" s="146" t="n">
        <f aca="false">400/2*$I120</f>
        <v>133.333333333333</v>
      </c>
      <c r="HN120" s="34"/>
      <c r="JE120" s="146" t="n">
        <f aca="false">20/2*$I120</f>
        <v>6.66666666666667</v>
      </c>
    </row>
    <row collapsed="false" customFormat="false" customHeight="true" hidden="false" ht="12.75" outlineLevel="0" r="121">
      <c r="A121" s="124" t="s">
        <v>407</v>
      </c>
      <c r="B121" s="124"/>
      <c r="C121" s="95" t="n">
        <v>712</v>
      </c>
      <c r="D121" s="125" t="s">
        <v>408</v>
      </c>
      <c r="E121" s="125"/>
      <c r="F121" s="126" t="n">
        <v>2</v>
      </c>
      <c r="G121" s="126" t="n">
        <f aca="false">2*2</f>
        <v>4</v>
      </c>
      <c r="H121" s="126" t="n">
        <v>0</v>
      </c>
      <c r="I121" s="108" t="n">
        <f aca="false">SUM(F121:H121)/3</f>
        <v>2</v>
      </c>
      <c r="J121" s="137"/>
      <c r="K121" s="137"/>
      <c r="AM121" s="36" t="n">
        <f aca="false">20*$I121</f>
        <v>40</v>
      </c>
      <c r="AO121" s="36" t="n">
        <f aca="false">300/2*$I121</f>
        <v>300</v>
      </c>
      <c r="BS121" s="127" t="n">
        <f aca="false">24.97*$I121</f>
        <v>49.94</v>
      </c>
      <c r="CC121" s="36" t="n">
        <f aca="false">25/2*$I121</f>
        <v>25</v>
      </c>
      <c r="CD121" s="4"/>
      <c r="CZ121" s="4"/>
      <c r="DN121" s="4"/>
      <c r="DO121" s="4"/>
      <c r="EF121" s="36" t="n">
        <f aca="false">25/2*$I121</f>
        <v>25</v>
      </c>
      <c r="EG121" s="4"/>
      <c r="EH121" s="4"/>
      <c r="FD121" s="36" t="n">
        <f aca="false">30/2*$I121</f>
        <v>30</v>
      </c>
      <c r="FX121" s="36" t="n">
        <f aca="false">200/2*$I121</f>
        <v>200</v>
      </c>
      <c r="HM121" s="36" t="n">
        <f aca="false">400/2*$I121</f>
        <v>400</v>
      </c>
      <c r="HN121" s="34"/>
      <c r="JE121" s="36" t="n">
        <f aca="false">20/2*$I121</f>
        <v>20</v>
      </c>
    </row>
    <row collapsed="false" customFormat="true" customHeight="true" hidden="false" ht="12.75" outlineLevel="0" r="122" s="4">
      <c r="A122" s="110" t="s">
        <v>409</v>
      </c>
      <c r="B122" s="110"/>
      <c r="C122" s="111" t="n">
        <v>1042</v>
      </c>
      <c r="D122" s="112" t="s">
        <v>410</v>
      </c>
      <c r="E122" s="112"/>
      <c r="F122" s="113" t="n">
        <v>0</v>
      </c>
      <c r="G122" s="113" t="n">
        <v>2</v>
      </c>
      <c r="H122" s="113" t="n">
        <v>0</v>
      </c>
      <c r="I122" s="114" t="n">
        <f aca="false">SUM(F122:H122)/3</f>
        <v>0.666666666666667</v>
      </c>
      <c r="J122" s="104"/>
      <c r="K122" s="104"/>
      <c r="R122" s="34"/>
      <c r="BS122" s="115"/>
      <c r="CA122" s="4" t="n">
        <f aca="false">0.95*600*$I122</f>
        <v>380</v>
      </c>
      <c r="CX122" s="35"/>
      <c r="GB122" s="34"/>
      <c r="GC122" s="116"/>
      <c r="GD122" s="116"/>
      <c r="GE122" s="116"/>
      <c r="GF122" s="116"/>
      <c r="GG122" s="116"/>
      <c r="GH122" s="116"/>
      <c r="GJ122" s="1"/>
      <c r="HI122" s="34"/>
      <c r="HN122" s="34"/>
      <c r="AMI122" s="0"/>
      <c r="AMJ122" s="0"/>
    </row>
    <row collapsed="false" customFormat="true" customHeight="true" hidden="false" ht="12.75" outlineLevel="0" r="123" s="4">
      <c r="A123" s="124" t="s">
        <v>411</v>
      </c>
      <c r="B123" s="124"/>
      <c r="C123" s="95" t="n">
        <v>1221</v>
      </c>
      <c r="D123" s="125" t="s">
        <v>352</v>
      </c>
      <c r="E123" s="125"/>
      <c r="F123" s="126" t="n">
        <v>0</v>
      </c>
      <c r="G123" s="126" t="n">
        <v>2</v>
      </c>
      <c r="H123" s="126" t="n">
        <v>0</v>
      </c>
      <c r="I123" s="108" t="n">
        <f aca="false">SUM(F123:H123)/3</f>
        <v>0.666666666666667</v>
      </c>
      <c r="J123" s="104"/>
      <c r="K123" s="104"/>
      <c r="R123" s="34"/>
      <c r="CX123" s="35"/>
      <c r="FD123" s="127" t="n">
        <f aca="false">56*I123</f>
        <v>37.3333333333333</v>
      </c>
      <c r="GB123" s="34"/>
      <c r="GC123" s="116"/>
      <c r="GD123" s="116"/>
      <c r="GE123" s="116"/>
      <c r="GF123" s="116"/>
      <c r="GG123" s="116"/>
      <c r="GH123" s="116"/>
      <c r="GJ123" s="1"/>
      <c r="HI123" s="34"/>
      <c r="HN123" s="34"/>
      <c r="AMI123" s="0"/>
      <c r="AMJ123" s="0"/>
    </row>
    <row collapsed="false" customFormat="true" customHeight="true" hidden="false" ht="12.75" outlineLevel="0" r="124" s="4">
      <c r="A124" s="110" t="s">
        <v>412</v>
      </c>
      <c r="B124" s="110"/>
      <c r="C124" s="111" t="n">
        <v>1311</v>
      </c>
      <c r="D124" s="4" t="s">
        <v>413</v>
      </c>
      <c r="F124" s="34" t="n">
        <v>2</v>
      </c>
      <c r="G124" s="34" t="n">
        <v>0</v>
      </c>
      <c r="H124" s="34" t="n">
        <v>0</v>
      </c>
      <c r="I124" s="114" t="n">
        <f aca="false">SUM(F124:H124)/3</f>
        <v>0.666666666666667</v>
      </c>
      <c r="J124" s="104"/>
      <c r="K124" s="104"/>
      <c r="R124" s="34"/>
      <c r="X124" s="4" t="s">
        <v>297</v>
      </c>
      <c r="CN124" s="182"/>
      <c r="CO124" s="182"/>
      <c r="CP124" s="182"/>
      <c r="CX124" s="35"/>
      <c r="FW124" s="4" t="n">
        <f aca="false">240*I124</f>
        <v>160</v>
      </c>
      <c r="GB124" s="34"/>
      <c r="GC124" s="116"/>
      <c r="GD124" s="116"/>
      <c r="GE124" s="116"/>
      <c r="GF124" s="116"/>
      <c r="GG124" s="116"/>
      <c r="GH124" s="116"/>
      <c r="GJ124" s="1"/>
      <c r="HI124" s="34"/>
      <c r="HN124" s="34"/>
      <c r="AMI124" s="0"/>
      <c r="AMJ124" s="0"/>
    </row>
    <row collapsed="false" customFormat="false" customHeight="true" hidden="false" ht="12.75" outlineLevel="0" r="125">
      <c r="A125" s="235" t="s">
        <v>414</v>
      </c>
      <c r="B125" s="110"/>
      <c r="C125" s="111" t="n">
        <v>718</v>
      </c>
      <c r="D125" s="112" t="s">
        <v>352</v>
      </c>
      <c r="E125" s="112"/>
      <c r="F125" s="113" t="n">
        <v>2</v>
      </c>
      <c r="G125" s="113" t="n">
        <v>0</v>
      </c>
      <c r="H125" s="113" t="n">
        <v>0</v>
      </c>
      <c r="I125" s="114" t="n">
        <f aca="false">SUM(F125:H125)/3</f>
        <v>0.666666666666667</v>
      </c>
      <c r="J125" s="137"/>
      <c r="K125" s="137"/>
      <c r="CH125" s="1" t="n">
        <f aca="false">240*$I125</f>
        <v>160</v>
      </c>
      <c r="CN125" s="0"/>
      <c r="CO125" s="0"/>
      <c r="CP125" s="0"/>
      <c r="DQ125" s="4"/>
      <c r="EY125" s="51" t="n">
        <f aca="false">2000*$I125</f>
        <v>1333.33333333333</v>
      </c>
      <c r="IP125" s="1" t="n">
        <f aca="false">60*$I125</f>
        <v>40</v>
      </c>
      <c r="IQ125" s="4"/>
    </row>
    <row collapsed="false" customFormat="false" customHeight="true" hidden="false" ht="12.75" outlineLevel="0" r="126">
      <c r="A126" s="235" t="s">
        <v>415</v>
      </c>
      <c r="B126" s="110"/>
      <c r="C126" s="111" t="n">
        <v>1061</v>
      </c>
      <c r="D126" s="112" t="s">
        <v>324</v>
      </c>
      <c r="E126" s="112"/>
      <c r="F126" s="113" t="n">
        <v>0</v>
      </c>
      <c r="G126" s="113" t="n">
        <v>1</v>
      </c>
      <c r="H126" s="113" t="n">
        <v>0</v>
      </c>
      <c r="I126" s="114" t="n">
        <f aca="false">SUM(F126:H126)/3</f>
        <v>0.333333333333333</v>
      </c>
      <c r="J126" s="137"/>
      <c r="K126" s="137"/>
      <c r="CN126" s="0"/>
      <c r="CO126" s="0"/>
      <c r="CP126" s="0"/>
      <c r="DQ126" s="4"/>
      <c r="EY126" s="51"/>
      <c r="IQ126" s="4"/>
    </row>
    <row collapsed="false" customFormat="false" customHeight="true" hidden="false" ht="12.75" outlineLevel="0" r="127">
      <c r="A127" s="235" t="s">
        <v>416</v>
      </c>
      <c r="B127" s="110"/>
      <c r="C127" s="111" t="n">
        <v>1200</v>
      </c>
      <c r="D127" s="112" t="s">
        <v>417</v>
      </c>
      <c r="E127" s="112"/>
      <c r="F127" s="113" t="n">
        <v>0</v>
      </c>
      <c r="G127" s="113" t="n">
        <v>0</v>
      </c>
      <c r="H127" s="113" t="n">
        <v>3</v>
      </c>
      <c r="I127" s="114" t="n">
        <f aca="false">SUM(F127:H127)/3</f>
        <v>1</v>
      </c>
      <c r="J127" s="137"/>
      <c r="K127" s="137"/>
      <c r="CN127" s="0"/>
      <c r="CO127" s="0"/>
      <c r="CP127" s="0"/>
      <c r="DQ127" s="4"/>
      <c r="EY127" s="51"/>
      <c r="IQ127" s="4"/>
    </row>
    <row collapsed="false" customFormat="true" customHeight="true" hidden="false" ht="12.75" outlineLevel="0" r="128" s="173">
      <c r="A128" s="167" t="s">
        <v>418</v>
      </c>
      <c r="B128" s="167"/>
      <c r="C128" s="168" t="n">
        <v>148</v>
      </c>
      <c r="D128" s="169" t="s">
        <v>419</v>
      </c>
      <c r="E128" s="169"/>
      <c r="F128" s="170"/>
      <c r="G128" s="170"/>
      <c r="H128" s="170"/>
      <c r="I128" s="236" t="n">
        <v>0</v>
      </c>
      <c r="J128" s="185"/>
      <c r="K128" s="185"/>
      <c r="R128" s="174"/>
      <c r="CQ128" s="173" t="n">
        <f aca="false">I128*1000000*0.0013</f>
        <v>0</v>
      </c>
      <c r="CX128" s="175"/>
      <c r="GB128" s="174"/>
      <c r="GC128" s="176"/>
      <c r="GD128" s="176"/>
      <c r="GE128" s="176"/>
      <c r="GF128" s="176"/>
      <c r="GG128" s="176"/>
      <c r="GH128" s="176"/>
      <c r="HI128" s="174"/>
      <c r="HN128" s="174"/>
      <c r="AMI128" s="178"/>
      <c r="AMJ128" s="178"/>
    </row>
    <row collapsed="false" customFormat="true" customHeight="true" hidden="false" ht="12.75" outlineLevel="0" r="129" s="173">
      <c r="A129" s="167" t="s">
        <v>418</v>
      </c>
      <c r="B129" s="167"/>
      <c r="C129" s="168" t="n">
        <v>148</v>
      </c>
      <c r="D129" s="169" t="s">
        <v>419</v>
      </c>
      <c r="E129" s="169"/>
      <c r="F129" s="170"/>
      <c r="G129" s="170"/>
      <c r="H129" s="170"/>
      <c r="I129" s="236" t="n">
        <v>0</v>
      </c>
      <c r="J129" s="185"/>
      <c r="K129" s="185"/>
      <c r="R129" s="174"/>
      <c r="CQ129" s="174" t="n">
        <f aca="false">I129*1000000*0.0013</f>
        <v>0</v>
      </c>
      <c r="CX129" s="175"/>
      <c r="GB129" s="174"/>
      <c r="GC129" s="176"/>
      <c r="GD129" s="176"/>
      <c r="GE129" s="176"/>
      <c r="GF129" s="176"/>
      <c r="GG129" s="176"/>
      <c r="GH129" s="176"/>
      <c r="HI129" s="174"/>
      <c r="HN129" s="174"/>
      <c r="AMI129" s="178"/>
      <c r="AMJ129" s="178"/>
    </row>
    <row collapsed="false" customFormat="true" customHeight="true" hidden="false" ht="12.75" outlineLevel="0" r="130" s="4">
      <c r="A130" s="110" t="s">
        <v>420</v>
      </c>
      <c r="B130" s="110"/>
      <c r="C130" s="111" t="n">
        <v>1513</v>
      </c>
      <c r="D130" s="112" t="s">
        <v>296</v>
      </c>
      <c r="E130" s="112" t="n">
        <v>0</v>
      </c>
      <c r="F130" s="113" t="n">
        <v>1</v>
      </c>
      <c r="G130" s="113" t="n">
        <f aca="false">1*2</f>
        <v>2</v>
      </c>
      <c r="H130" s="113" t="n">
        <v>0</v>
      </c>
      <c r="I130" s="114" t="n">
        <f aca="false">SUM(F130:H130)/3</f>
        <v>1</v>
      </c>
      <c r="J130" s="104"/>
      <c r="K130" s="104"/>
      <c r="R130" s="34"/>
      <c r="CQ130" s="34"/>
      <c r="CT130" s="4" t="n">
        <f aca="false">0.85*88.5*I130</f>
        <v>75.225</v>
      </c>
      <c r="CX130" s="35"/>
      <c r="GB130" s="34"/>
      <c r="GC130" s="116"/>
      <c r="GD130" s="116"/>
      <c r="GE130" s="116"/>
      <c r="GF130" s="116"/>
      <c r="GG130" s="116"/>
      <c r="GH130" s="116"/>
      <c r="HI130" s="34"/>
      <c r="HN130" s="34"/>
      <c r="AMI130" s="182"/>
      <c r="AMJ130" s="182"/>
    </row>
    <row collapsed="false" customFormat="false" customHeight="true" hidden="false" ht="12.75" outlineLevel="0" r="131">
      <c r="A131" s="141" t="s">
        <v>421</v>
      </c>
      <c r="B131" s="141"/>
      <c r="C131" s="179" t="n">
        <v>127</v>
      </c>
      <c r="D131" s="143" t="s">
        <v>307</v>
      </c>
      <c r="E131" s="143"/>
      <c r="F131" s="144" t="n">
        <v>0</v>
      </c>
      <c r="G131" s="144" t="n">
        <v>0</v>
      </c>
      <c r="H131" s="144" t="n">
        <f aca="false">4.7*3</f>
        <v>14.1</v>
      </c>
      <c r="I131" s="180" t="n">
        <f aca="false">SUM(F131:H131)/3</f>
        <v>4.7</v>
      </c>
      <c r="J131" s="137"/>
      <c r="K131" s="137"/>
      <c r="CU131" s="181" t="n">
        <f aca="false">I131*1000</f>
        <v>4700</v>
      </c>
    </row>
    <row collapsed="false" customFormat="false" customHeight="true" hidden="false" ht="12.75" outlineLevel="0" r="132">
      <c r="A132" s="124" t="s">
        <v>421</v>
      </c>
      <c r="B132" s="124"/>
      <c r="C132" s="95" t="n">
        <v>127</v>
      </c>
      <c r="D132" s="125" t="s">
        <v>307</v>
      </c>
      <c r="E132" s="125"/>
      <c r="F132" s="126" t="n">
        <v>0</v>
      </c>
      <c r="G132" s="126" t="n">
        <v>0</v>
      </c>
      <c r="H132" s="126" t="n">
        <f aca="false">3.2*3</f>
        <v>9.6</v>
      </c>
      <c r="I132" s="108" t="n">
        <f aca="false">SUM(F132:H132)/3</f>
        <v>3.2</v>
      </c>
      <c r="J132" s="137"/>
      <c r="K132" s="137"/>
      <c r="CU132" s="36" t="n">
        <f aca="false">I132*1000</f>
        <v>3200</v>
      </c>
    </row>
    <row collapsed="false" customFormat="false" customHeight="true" hidden="false" ht="12.75" outlineLevel="0" r="133">
      <c r="A133" s="110" t="s">
        <v>422</v>
      </c>
      <c r="B133" s="110"/>
      <c r="C133" s="111" t="n">
        <v>759</v>
      </c>
      <c r="D133" s="112" t="s">
        <v>423</v>
      </c>
      <c r="E133" s="112"/>
      <c r="F133" s="113" t="n">
        <v>0</v>
      </c>
      <c r="G133" s="113" t="n">
        <v>2</v>
      </c>
      <c r="H133" s="113" t="n">
        <v>0</v>
      </c>
      <c r="I133" s="114" t="n">
        <f aca="false">SUM(F133:H133)/3</f>
        <v>0.666666666666667</v>
      </c>
      <c r="J133" s="137"/>
      <c r="K133" s="137"/>
      <c r="DQ133" s="51"/>
      <c r="DR133" s="115"/>
      <c r="HE133" s="51" t="n">
        <f aca="false">20*I133</f>
        <v>13.3333333333333</v>
      </c>
      <c r="IQ133" s="4"/>
      <c r="IR133" s="4"/>
      <c r="IS133" s="4"/>
      <c r="IT133" s="4"/>
      <c r="IU133" s="4" t="n">
        <f aca="false">36*$I133</f>
        <v>24</v>
      </c>
      <c r="IV133" s="4" t="n">
        <f aca="false">237*$I133</f>
        <v>158</v>
      </c>
      <c r="IW133" s="115" t="n">
        <f aca="false">79*$I133</f>
        <v>52.6666666666667</v>
      </c>
      <c r="IX133" s="4" t="n">
        <f aca="false">3.6*$I133</f>
        <v>2.4</v>
      </c>
    </row>
    <row collapsed="false" customFormat="false" customHeight="true" hidden="false" ht="12.75" outlineLevel="0" r="134">
      <c r="A134" s="133" t="s">
        <v>424</v>
      </c>
      <c r="B134" s="133"/>
      <c r="C134" s="134" t="n">
        <v>484</v>
      </c>
      <c r="D134" s="135" t="s">
        <v>425</v>
      </c>
      <c r="E134" s="135"/>
      <c r="F134" s="136" t="n">
        <f aca="false">1*1</f>
        <v>1</v>
      </c>
      <c r="G134" s="136" t="n">
        <v>0</v>
      </c>
      <c r="H134" s="136" t="n">
        <f aca="false">3*1</f>
        <v>3</v>
      </c>
      <c r="I134" s="102" t="n">
        <f aca="false">SUM(F134:H134)/3</f>
        <v>1.33333333333333</v>
      </c>
      <c r="J134" s="137"/>
      <c r="K134" s="137"/>
      <c r="AK134" s="146" t="n">
        <f aca="false">0.5*200*I134</f>
        <v>133.333333333333</v>
      </c>
      <c r="AQ134" s="146" t="n">
        <f aca="false">100*I134</f>
        <v>133.333333333333</v>
      </c>
      <c r="CN134" s="0"/>
      <c r="CO134" s="0"/>
      <c r="CP134" s="0"/>
      <c r="DQ134" s="146" t="n">
        <f aca="false">0.35*200*I134</f>
        <v>93.3333333333333</v>
      </c>
      <c r="DR134" s="115"/>
      <c r="IQ134" s="146" t="n">
        <f aca="false">1000*$I134</f>
        <v>1333.33333333333</v>
      </c>
    </row>
    <row collapsed="false" customFormat="false" customHeight="true" hidden="false" ht="12.75" outlineLevel="0" r="135">
      <c r="A135" s="124" t="s">
        <v>424</v>
      </c>
      <c r="B135" s="124"/>
      <c r="C135" s="95" t="n">
        <v>484</v>
      </c>
      <c r="D135" s="36" t="s">
        <v>425</v>
      </c>
      <c r="E135" s="36"/>
      <c r="F135" s="126" t="n">
        <f aca="false">2*0.5</f>
        <v>1</v>
      </c>
      <c r="G135" s="126" t="n">
        <v>0</v>
      </c>
      <c r="H135" s="126" t="n">
        <f aca="false">0.5*3</f>
        <v>1.5</v>
      </c>
      <c r="I135" s="108" t="n">
        <f aca="false">SUM(F135:H135)/3</f>
        <v>0.833333333333333</v>
      </c>
      <c r="J135" s="137"/>
      <c r="K135" s="137"/>
      <c r="AK135" s="127" t="n">
        <f aca="false">0.5*200*I135</f>
        <v>83.3333333333333</v>
      </c>
      <c r="AQ135" s="127" t="n">
        <f aca="false">100*I135</f>
        <v>83.3333333333333</v>
      </c>
      <c r="CN135" s="0"/>
      <c r="CO135" s="0"/>
      <c r="CP135" s="0"/>
      <c r="DQ135" s="127" t="n">
        <f aca="false">0.35*200*I135</f>
        <v>58.3333333333333</v>
      </c>
      <c r="DR135" s="115"/>
      <c r="IQ135" s="127" t="n">
        <f aca="false">1000*$I135</f>
        <v>833.333333333333</v>
      </c>
    </row>
    <row collapsed="false" customFormat="false" customHeight="true" hidden="false" ht="12.75" outlineLevel="0" r="136">
      <c r="A136" s="128" t="s">
        <v>426</v>
      </c>
      <c r="B136" s="128"/>
      <c r="C136" s="91" t="n">
        <v>1228</v>
      </c>
      <c r="D136" s="132" t="s">
        <v>427</v>
      </c>
      <c r="E136" s="132"/>
      <c r="F136" s="130" t="n">
        <v>0</v>
      </c>
      <c r="G136" s="130" t="n">
        <f aca="false">2*2</f>
        <v>4</v>
      </c>
      <c r="H136" s="130" t="n">
        <v>0</v>
      </c>
      <c r="I136" s="237" t="n">
        <f aca="false">SUM(F136:H136)/3</f>
        <v>1.33333333333333</v>
      </c>
      <c r="J136" s="137"/>
      <c r="K136" s="137"/>
      <c r="AD136" s="1"/>
      <c r="AK136" s="51"/>
      <c r="AQ136" s="51"/>
      <c r="AR136" s="1"/>
      <c r="DA136" s="132" t="n">
        <f aca="false">19*$I136</f>
        <v>25.3333333333333</v>
      </c>
      <c r="DQ136" s="51"/>
      <c r="DR136" s="51"/>
      <c r="DT136" s="1"/>
      <c r="EA136" s="1"/>
      <c r="GS136" s="1" t="n">
        <f aca="false">5*$I136</f>
        <v>6.66666666666667</v>
      </c>
      <c r="HK136" s="1"/>
      <c r="IQ136" s="51"/>
    </row>
    <row collapsed="false" customFormat="false" customHeight="true" hidden="false" ht="12.75" outlineLevel="0" r="137">
      <c r="A137" s="124" t="s">
        <v>426</v>
      </c>
      <c r="B137" s="124"/>
      <c r="C137" s="95" t="n">
        <v>1228</v>
      </c>
      <c r="D137" s="36" t="s">
        <v>427</v>
      </c>
      <c r="E137" s="36"/>
      <c r="F137" s="126" t="n">
        <v>0</v>
      </c>
      <c r="G137" s="126" t="n">
        <v>2</v>
      </c>
      <c r="H137" s="126" t="n">
        <v>0</v>
      </c>
      <c r="I137" s="194" t="n">
        <f aca="false">SUM(F137:H137)/3</f>
        <v>0.666666666666667</v>
      </c>
      <c r="J137" s="137"/>
      <c r="K137" s="137"/>
      <c r="AD137" s="1"/>
      <c r="AK137" s="51"/>
      <c r="AQ137" s="51"/>
      <c r="AR137" s="1"/>
      <c r="DA137" s="36" t="n">
        <f aca="false">19*$I137</f>
        <v>12.6666666666667</v>
      </c>
      <c r="DQ137" s="51"/>
      <c r="DR137" s="51"/>
      <c r="DT137" s="1"/>
      <c r="EA137" s="1"/>
      <c r="GS137" s="1" t="n">
        <f aca="false">5*$I137</f>
        <v>3.33333333333333</v>
      </c>
      <c r="HK137" s="1"/>
      <c r="IQ137" s="51"/>
    </row>
    <row collapsed="false" customFormat="false" customHeight="true" hidden="false" ht="12.75" outlineLevel="0" r="138">
      <c r="A138" s="110" t="s">
        <v>428</v>
      </c>
      <c r="B138" s="110"/>
      <c r="C138" s="111" t="n">
        <v>778</v>
      </c>
      <c r="D138" s="112" t="s">
        <v>429</v>
      </c>
      <c r="E138" s="112"/>
      <c r="F138" s="113" t="n">
        <v>0</v>
      </c>
      <c r="G138" s="113" t="n">
        <v>2</v>
      </c>
      <c r="H138" s="113" t="n">
        <v>0</v>
      </c>
      <c r="I138" s="114" t="n">
        <f aca="false">SUM(F138:H138)/3</f>
        <v>0.666666666666667</v>
      </c>
      <c r="J138" s="137"/>
      <c r="K138" s="137"/>
      <c r="DB138" s="4" t="n">
        <f aca="false">120*$I138</f>
        <v>80</v>
      </c>
      <c r="IQ138" s="4"/>
      <c r="IR138" s="4"/>
      <c r="IS138" s="4"/>
      <c r="IT138" s="4"/>
      <c r="IU138" s="4"/>
      <c r="IV138" s="4"/>
    </row>
    <row collapsed="false" customFormat="false" customHeight="true" hidden="false" ht="12.75" outlineLevel="0" r="139">
      <c r="A139" s="133" t="s">
        <v>430</v>
      </c>
      <c r="B139" s="133"/>
      <c r="C139" s="134" t="n">
        <v>512</v>
      </c>
      <c r="D139" s="135" t="s">
        <v>431</v>
      </c>
      <c r="E139" s="135"/>
      <c r="F139" s="136" t="n">
        <v>0</v>
      </c>
      <c r="G139" s="136" t="n">
        <f aca="false">4*2</f>
        <v>8</v>
      </c>
      <c r="H139" s="136" t="n">
        <v>0</v>
      </c>
      <c r="I139" s="102" t="n">
        <f aca="false">SUM(F139:H139)/3</f>
        <v>2.66666666666667</v>
      </c>
      <c r="J139" s="137"/>
      <c r="K139" s="137"/>
      <c r="BK139" s="29" t="n">
        <f aca="false">24*$I139</f>
        <v>64</v>
      </c>
      <c r="IQ139" s="4"/>
      <c r="IR139" s="4"/>
      <c r="IS139" s="4"/>
      <c r="IT139" s="4"/>
      <c r="IU139" s="4"/>
      <c r="IV139" s="4"/>
    </row>
    <row collapsed="false" customFormat="false" customHeight="true" hidden="false" ht="12.75" outlineLevel="0" r="140">
      <c r="A140" s="124" t="s">
        <v>430</v>
      </c>
      <c r="B140" s="124"/>
      <c r="C140" s="95" t="n">
        <v>512</v>
      </c>
      <c r="D140" s="125" t="s">
        <v>431</v>
      </c>
      <c r="E140" s="125"/>
      <c r="F140" s="126" t="n">
        <v>0</v>
      </c>
      <c r="G140" s="126" t="n">
        <f aca="false">2*3</f>
        <v>6</v>
      </c>
      <c r="H140" s="126" t="n">
        <v>0</v>
      </c>
      <c r="I140" s="108" t="n">
        <f aca="false">SUM(F140:H140)/3</f>
        <v>2</v>
      </c>
      <c r="J140" s="137"/>
      <c r="K140" s="137"/>
      <c r="BK140" s="36" t="n">
        <f aca="false">24*$I140</f>
        <v>48</v>
      </c>
      <c r="IQ140" s="4"/>
      <c r="IR140" s="4"/>
      <c r="IS140" s="4"/>
      <c r="IT140" s="4"/>
      <c r="IU140" s="4"/>
      <c r="IV140" s="4"/>
    </row>
    <row collapsed="false" customFormat="false" customHeight="true" hidden="false" ht="12.75" outlineLevel="0" r="141">
      <c r="A141" s="128" t="s">
        <v>432</v>
      </c>
      <c r="B141" s="128"/>
      <c r="C141" s="91" t="n">
        <v>15032</v>
      </c>
      <c r="D141" s="129" t="s">
        <v>433</v>
      </c>
      <c r="E141" s="129"/>
      <c r="F141" s="130" t="n">
        <v>0</v>
      </c>
      <c r="G141" s="130" t="n">
        <f aca="false">0.6*30*2</f>
        <v>36</v>
      </c>
      <c r="H141" s="130" t="n">
        <v>0</v>
      </c>
      <c r="I141" s="131" t="n">
        <f aca="false">SUM(F141:H141)/3</f>
        <v>12</v>
      </c>
      <c r="J141" s="137"/>
      <c r="K141" s="137"/>
      <c r="BK141" s="4"/>
      <c r="EK141" s="132" t="n">
        <f aca="false">30000/30*$I141/1000</f>
        <v>12</v>
      </c>
      <c r="IQ141" s="4"/>
      <c r="IR141" s="4"/>
      <c r="IS141" s="4"/>
      <c r="IT141" s="4"/>
      <c r="IU141" s="4"/>
      <c r="IV141" s="4"/>
    </row>
    <row collapsed="false" customFormat="false" customHeight="true" hidden="false" ht="12.75" outlineLevel="0" r="142">
      <c r="A142" s="124" t="s">
        <v>432</v>
      </c>
      <c r="B142" s="124"/>
      <c r="C142" s="95" t="n">
        <v>15032</v>
      </c>
      <c r="D142" s="125" t="s">
        <v>433</v>
      </c>
      <c r="E142" s="125"/>
      <c r="F142" s="126" t="n">
        <v>0</v>
      </c>
      <c r="G142" s="126" t="n">
        <f aca="false">0.4*30*2</f>
        <v>24</v>
      </c>
      <c r="H142" s="126" t="n">
        <v>0</v>
      </c>
      <c r="I142" s="108" t="n">
        <f aca="false">SUM(F142:H142)/3</f>
        <v>8</v>
      </c>
      <c r="J142" s="137"/>
      <c r="K142" s="137"/>
      <c r="BK142" s="4"/>
      <c r="EK142" s="36" t="n">
        <f aca="false">30000/30*$I142/1000</f>
        <v>8</v>
      </c>
      <c r="IQ142" s="4"/>
      <c r="IR142" s="4"/>
      <c r="IS142" s="4"/>
      <c r="IT142" s="4"/>
      <c r="IU142" s="4"/>
      <c r="IV142" s="4"/>
    </row>
    <row collapsed="false" customFormat="false" customHeight="true" hidden="false" ht="12.75" outlineLevel="0" r="143">
      <c r="A143" s="110" t="s">
        <v>434</v>
      </c>
      <c r="B143" s="110"/>
      <c r="C143" s="111" t="n">
        <v>393</v>
      </c>
      <c r="D143" s="112" t="s">
        <v>435</v>
      </c>
      <c r="E143" s="112"/>
      <c r="F143" s="113"/>
      <c r="G143" s="113"/>
      <c r="H143" s="113"/>
      <c r="I143" s="114" t="s">
        <v>436</v>
      </c>
      <c r="J143" s="137"/>
      <c r="K143" s="137"/>
      <c r="IQ143" s="4"/>
      <c r="IR143" s="4"/>
      <c r="IS143" s="4"/>
      <c r="IT143" s="4"/>
      <c r="IU143" s="4"/>
      <c r="IV143" s="4"/>
    </row>
    <row collapsed="false" customFormat="true" customHeight="true" hidden="false" ht="12.75" outlineLevel="0" r="144" s="4">
      <c r="A144" s="133" t="s">
        <v>437</v>
      </c>
      <c r="B144" s="133"/>
      <c r="C144" s="134" t="n">
        <v>12751</v>
      </c>
      <c r="D144" s="135" t="s">
        <v>438</v>
      </c>
      <c r="E144" s="135"/>
      <c r="F144" s="136" t="n">
        <v>2</v>
      </c>
      <c r="G144" s="136" t="n">
        <v>2</v>
      </c>
      <c r="H144" s="136" t="n">
        <v>3</v>
      </c>
      <c r="I144" s="102" t="n">
        <f aca="false">SUM(F144:H144)/3</f>
        <v>2.33333333333333</v>
      </c>
      <c r="J144" s="104"/>
      <c r="K144" s="104"/>
      <c r="R144" s="34"/>
      <c r="CX144" s="35"/>
      <c r="GB144" s="34"/>
      <c r="GC144" s="116"/>
      <c r="GD144" s="116"/>
      <c r="GE144" s="116"/>
      <c r="GF144" s="116"/>
      <c r="GG144" s="116"/>
      <c r="GH144" s="116"/>
      <c r="GJ144" s="1"/>
      <c r="HI144" s="34"/>
      <c r="HN144" s="34"/>
      <c r="AMI144" s="0"/>
      <c r="AMJ144" s="0"/>
    </row>
    <row collapsed="false" customFormat="true" customHeight="true" hidden="false" ht="12.75" outlineLevel="0" r="145" s="4">
      <c r="A145" s="124" t="s">
        <v>437</v>
      </c>
      <c r="B145" s="124"/>
      <c r="C145" s="95" t="n">
        <v>12751</v>
      </c>
      <c r="D145" s="125" t="s">
        <v>438</v>
      </c>
      <c r="E145" s="125"/>
      <c r="F145" s="126" t="n">
        <v>2</v>
      </c>
      <c r="G145" s="126" t="n">
        <v>2</v>
      </c>
      <c r="H145" s="126" t="n">
        <v>0</v>
      </c>
      <c r="I145" s="108" t="n">
        <f aca="false">SUM(F145:H145)/3</f>
        <v>1.33333333333333</v>
      </c>
      <c r="J145" s="104"/>
      <c r="K145" s="104"/>
      <c r="R145" s="34"/>
      <c r="CX145" s="35"/>
      <c r="GB145" s="34"/>
      <c r="GC145" s="116"/>
      <c r="GD145" s="116"/>
      <c r="GE145" s="116"/>
      <c r="GF145" s="116"/>
      <c r="GG145" s="116"/>
      <c r="GH145" s="116"/>
      <c r="GJ145" s="1"/>
      <c r="HI145" s="34"/>
      <c r="HN145" s="34"/>
      <c r="AMI145" s="0"/>
      <c r="AMJ145" s="0"/>
    </row>
    <row collapsed="false" customFormat="true" customHeight="true" hidden="false" ht="12.75" outlineLevel="0" r="146" s="178">
      <c r="A146" s="167" t="s">
        <v>439</v>
      </c>
      <c r="B146" s="167"/>
      <c r="C146" s="168" t="n">
        <v>1091</v>
      </c>
      <c r="D146" s="169" t="s">
        <v>277</v>
      </c>
      <c r="E146" s="169"/>
      <c r="F146" s="170" t="n">
        <v>0</v>
      </c>
      <c r="G146" s="170" t="n">
        <v>0</v>
      </c>
      <c r="H146" s="170" t="n">
        <v>0</v>
      </c>
      <c r="I146" s="171" t="n">
        <f aca="false">SUM(F146:H146)/3</f>
        <v>0</v>
      </c>
      <c r="J146" s="185"/>
      <c r="K146" s="185"/>
      <c r="L146" s="173"/>
      <c r="M146" s="173"/>
      <c r="N146" s="173"/>
      <c r="O146" s="173"/>
      <c r="P146" s="173"/>
      <c r="Q146" s="173"/>
      <c r="R146" s="174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7" t="n">
        <f aca="false">20*$I146</f>
        <v>0</v>
      </c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5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4" t="n">
        <f aca="false">150*I146</f>
        <v>0</v>
      </c>
      <c r="GC146" s="176"/>
      <c r="GD146" s="176"/>
      <c r="GE146" s="176"/>
      <c r="GF146" s="176"/>
      <c r="GG146" s="176"/>
      <c r="GH146" s="176"/>
      <c r="GI146" s="173"/>
      <c r="GJ146" s="173"/>
      <c r="GK146" s="173"/>
      <c r="GL146" s="173"/>
      <c r="GM146" s="173"/>
      <c r="GN146" s="177" t="n">
        <f aca="false">25*I146</f>
        <v>0</v>
      </c>
      <c r="GO146" s="173"/>
      <c r="GP146" s="173"/>
      <c r="GQ146" s="173"/>
      <c r="GR146" s="173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4"/>
      <c r="HJ146" s="173"/>
      <c r="HK146" s="173"/>
      <c r="HL146" s="173"/>
      <c r="HM146" s="173"/>
      <c r="HN146" s="174"/>
      <c r="HO146" s="173"/>
      <c r="HP146" s="173"/>
      <c r="HQ146" s="173"/>
      <c r="HR146" s="173"/>
      <c r="HS146" s="173"/>
      <c r="HT146" s="173"/>
      <c r="HU146" s="173"/>
      <c r="HV146" s="173"/>
      <c r="HW146" s="173"/>
      <c r="HX146" s="173"/>
      <c r="HY146" s="173"/>
      <c r="HZ146" s="173"/>
      <c r="IA146" s="173"/>
      <c r="IB146" s="173"/>
      <c r="IC146" s="173"/>
      <c r="ID146" s="173"/>
      <c r="IE146" s="173"/>
      <c r="IF146" s="173"/>
      <c r="IG146" s="173"/>
      <c r="IH146" s="173"/>
      <c r="II146" s="173"/>
      <c r="IJ146" s="173"/>
      <c r="IK146" s="173"/>
      <c r="IL146" s="173"/>
      <c r="IM146" s="173"/>
      <c r="IN146" s="173"/>
      <c r="IO146" s="173"/>
      <c r="IP146" s="173"/>
      <c r="IQ146" s="177" t="n">
        <f aca="false">100*$I146</f>
        <v>0</v>
      </c>
      <c r="IR146" s="173"/>
      <c r="IS146" s="173"/>
      <c r="IT146" s="173"/>
      <c r="IU146" s="173"/>
      <c r="IV146" s="173"/>
      <c r="IW146" s="173"/>
      <c r="IX146" s="173"/>
      <c r="IY146" s="173"/>
      <c r="IZ146" s="173"/>
      <c r="JA146" s="173"/>
      <c r="JB146" s="173"/>
      <c r="JC146" s="173"/>
      <c r="JD146" s="173"/>
    </row>
    <row collapsed="false" customFormat="true" customHeight="true" hidden="false" ht="12.75" outlineLevel="0" r="147" s="178">
      <c r="A147" s="167" t="s">
        <v>439</v>
      </c>
      <c r="B147" s="167"/>
      <c r="C147" s="168" t="n">
        <v>991</v>
      </c>
      <c r="D147" s="169" t="s">
        <v>277</v>
      </c>
      <c r="E147" s="169"/>
      <c r="F147" s="170" t="n">
        <v>0</v>
      </c>
      <c r="G147" s="170" t="n">
        <v>0</v>
      </c>
      <c r="H147" s="170" t="n">
        <v>0</v>
      </c>
      <c r="I147" s="171" t="n">
        <f aca="false">SUM(F147:H147)/3</f>
        <v>0</v>
      </c>
      <c r="J147" s="185"/>
      <c r="K147" s="185"/>
      <c r="L147" s="173"/>
      <c r="M147" s="173"/>
      <c r="N147" s="173"/>
      <c r="O147" s="173"/>
      <c r="P147" s="173"/>
      <c r="Q147" s="173"/>
      <c r="R147" s="174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7" t="n">
        <f aca="false">20*$I147</f>
        <v>0</v>
      </c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5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4" t="n">
        <f aca="false">150*I147</f>
        <v>0</v>
      </c>
      <c r="GC147" s="176"/>
      <c r="GD147" s="176"/>
      <c r="GE147" s="176"/>
      <c r="GF147" s="176"/>
      <c r="GG147" s="176"/>
      <c r="GH147" s="176"/>
      <c r="GI147" s="173"/>
      <c r="GJ147" s="173"/>
      <c r="GK147" s="173"/>
      <c r="GL147" s="173"/>
      <c r="GM147" s="173"/>
      <c r="GN147" s="177" t="n">
        <f aca="false">25*I147</f>
        <v>0</v>
      </c>
      <c r="GO147" s="173"/>
      <c r="GP147" s="173"/>
      <c r="GQ147" s="173"/>
      <c r="GR147" s="173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4"/>
      <c r="HJ147" s="173"/>
      <c r="HK147" s="173"/>
      <c r="HL147" s="173"/>
      <c r="HM147" s="173"/>
      <c r="HN147" s="174"/>
      <c r="HO147" s="173"/>
      <c r="HP147" s="173"/>
      <c r="HQ147" s="173"/>
      <c r="HR147" s="173"/>
      <c r="HS147" s="173"/>
      <c r="HT147" s="173"/>
      <c r="HU147" s="173"/>
      <c r="HV147" s="173"/>
      <c r="HW147" s="173"/>
      <c r="HX147" s="173"/>
      <c r="HY147" s="173"/>
      <c r="HZ147" s="173"/>
      <c r="IA147" s="173"/>
      <c r="IB147" s="173"/>
      <c r="IC147" s="173"/>
      <c r="ID147" s="173"/>
      <c r="IE147" s="173"/>
      <c r="IF147" s="173"/>
      <c r="IG147" s="173"/>
      <c r="IH147" s="173"/>
      <c r="II147" s="173"/>
      <c r="IJ147" s="173"/>
      <c r="IK147" s="173"/>
      <c r="IL147" s="173"/>
      <c r="IM147" s="173"/>
      <c r="IN147" s="173"/>
      <c r="IO147" s="173"/>
      <c r="IP147" s="173"/>
      <c r="IQ147" s="177" t="n">
        <f aca="false">100*$I147</f>
        <v>0</v>
      </c>
      <c r="IR147" s="173"/>
      <c r="IS147" s="173"/>
      <c r="IT147" s="173"/>
      <c r="IU147" s="173"/>
      <c r="IV147" s="173"/>
      <c r="IW147" s="173"/>
      <c r="IX147" s="173"/>
      <c r="IY147" s="173"/>
      <c r="IZ147" s="173"/>
      <c r="JA147" s="173"/>
      <c r="JB147" s="173"/>
      <c r="JC147" s="173"/>
      <c r="JD147" s="173"/>
    </row>
    <row collapsed="false" customFormat="true" customHeight="true" hidden="false" ht="12.75" outlineLevel="0" r="148" s="4">
      <c r="A148" s="110" t="s">
        <v>440</v>
      </c>
      <c r="B148" s="110"/>
      <c r="C148" s="111" t="n">
        <v>953</v>
      </c>
      <c r="D148" s="110" t="s">
        <v>441</v>
      </c>
      <c r="E148" s="110"/>
      <c r="F148" s="238" t="n">
        <v>0</v>
      </c>
      <c r="G148" s="238" t="n">
        <v>2</v>
      </c>
      <c r="H148" s="238" t="n">
        <v>0</v>
      </c>
      <c r="I148" s="114" t="n">
        <f aca="false">SUM(F148:H148)/3</f>
        <v>0.666666666666667</v>
      </c>
      <c r="J148" s="104"/>
      <c r="K148" s="104"/>
      <c r="R148" s="34"/>
      <c r="CJ148" s="4" t="n">
        <f aca="false">326.25*$I148</f>
        <v>217.5</v>
      </c>
      <c r="CX148" s="35"/>
      <c r="FV148" s="115" t="n">
        <f aca="false">710.5*$I148</f>
        <v>473.666666666667</v>
      </c>
      <c r="GB148" s="34"/>
      <c r="GC148" s="116"/>
      <c r="GD148" s="116"/>
      <c r="GE148" s="116"/>
      <c r="GF148" s="116"/>
      <c r="GG148" s="116"/>
      <c r="GH148" s="116"/>
      <c r="GJ148" s="1"/>
      <c r="HI148" s="34"/>
      <c r="HN148" s="34"/>
      <c r="AMI148" s="0"/>
      <c r="AMJ148" s="0"/>
    </row>
    <row collapsed="false" customFormat="false" customHeight="true" hidden="false" ht="12.75" outlineLevel="0" r="149">
      <c r="A149" s="133" t="s">
        <v>442</v>
      </c>
      <c r="B149" s="133"/>
      <c r="C149" s="134" t="n">
        <v>230</v>
      </c>
      <c r="D149" s="135" t="s">
        <v>443</v>
      </c>
      <c r="E149" s="135"/>
      <c r="F149" s="136" t="n">
        <f aca="false">0*2</f>
        <v>0</v>
      </c>
      <c r="G149" s="136" t="n">
        <f aca="false">2*2+2*2</f>
        <v>8</v>
      </c>
      <c r="H149" s="136" t="n">
        <v>0</v>
      </c>
      <c r="I149" s="102" t="n">
        <f aca="false">SUM(F149:H149)/3</f>
        <v>2.66666666666667</v>
      </c>
      <c r="J149" s="137"/>
      <c r="K149" s="137"/>
      <c r="AY149" s="4"/>
      <c r="AZ149" s="4"/>
      <c r="CW149" s="4"/>
      <c r="CX149" s="35"/>
      <c r="DP149" s="146" t="n">
        <f aca="false">0.5*500*$I149</f>
        <v>666.666666666667</v>
      </c>
      <c r="GB149" s="34"/>
    </row>
    <row collapsed="false" customFormat="false" customHeight="true" hidden="false" ht="12.75" outlineLevel="0" r="150">
      <c r="A150" s="124" t="s">
        <v>442</v>
      </c>
      <c r="B150" s="124"/>
      <c r="C150" s="95" t="n">
        <v>230</v>
      </c>
      <c r="D150" s="125" t="s">
        <v>443</v>
      </c>
      <c r="E150" s="125"/>
      <c r="F150" s="126" t="n">
        <f aca="false">0</f>
        <v>0</v>
      </c>
      <c r="G150" s="126" t="n">
        <f aca="false">2*2+1*2</f>
        <v>6</v>
      </c>
      <c r="H150" s="126" t="n">
        <v>0</v>
      </c>
      <c r="I150" s="108" t="n">
        <f aca="false">SUM(F150:H150)/3</f>
        <v>2</v>
      </c>
      <c r="J150" s="137"/>
      <c r="K150" s="137"/>
      <c r="AY150" s="4"/>
      <c r="AZ150" s="4"/>
      <c r="CW150" s="4"/>
      <c r="CX150" s="35"/>
      <c r="DP150" s="127" t="n">
        <f aca="false">0.5*500*$I150</f>
        <v>500</v>
      </c>
      <c r="GB150" s="34"/>
    </row>
    <row collapsed="false" customFormat="true" customHeight="true" hidden="false" ht="12.75" outlineLevel="0" r="151" s="4">
      <c r="A151" s="149" t="s">
        <v>444</v>
      </c>
      <c r="B151" s="149"/>
      <c r="C151" s="239" t="n">
        <v>138</v>
      </c>
      <c r="D151" s="151" t="s">
        <v>356</v>
      </c>
      <c r="E151" s="151"/>
      <c r="F151" s="152"/>
      <c r="G151" s="152"/>
      <c r="H151" s="152"/>
      <c r="I151" s="102" t="n">
        <f aca="false">1.2*2/3</f>
        <v>0.8</v>
      </c>
      <c r="J151" s="104"/>
      <c r="K151" s="104"/>
      <c r="R151" s="34"/>
      <c r="CX151" s="35"/>
      <c r="DQ151" s="240" t="n">
        <f aca="false">0.4*$I151*1000</f>
        <v>320</v>
      </c>
      <c r="GB151" s="34"/>
      <c r="GC151" s="116"/>
      <c r="GD151" s="116"/>
      <c r="GE151" s="116"/>
      <c r="GF151" s="116"/>
      <c r="GG151" s="116"/>
      <c r="GH151" s="116"/>
      <c r="GJ151" s="1"/>
      <c r="HI151" s="34"/>
      <c r="HN151" s="34"/>
      <c r="AMI151" s="0"/>
      <c r="AMJ151" s="0"/>
    </row>
    <row collapsed="false" customFormat="true" customHeight="true" hidden="false" ht="12.75" outlineLevel="0" r="152" s="4">
      <c r="A152" s="149" t="s">
        <v>444</v>
      </c>
      <c r="B152" s="149"/>
      <c r="C152" s="239" t="n">
        <v>138</v>
      </c>
      <c r="D152" s="151" t="s">
        <v>356</v>
      </c>
      <c r="E152" s="151"/>
      <c r="F152" s="152"/>
      <c r="G152" s="152"/>
      <c r="H152" s="152"/>
      <c r="I152" s="108" t="n">
        <f aca="false">0.48*2/3</f>
        <v>0.32</v>
      </c>
      <c r="J152" s="104"/>
      <c r="K152" s="104"/>
      <c r="R152" s="34"/>
      <c r="CX152" s="35"/>
      <c r="DQ152" s="240" t="n">
        <f aca="false">0.4*$I152*1000</f>
        <v>128</v>
      </c>
      <c r="GB152" s="34"/>
      <c r="GC152" s="116"/>
      <c r="GD152" s="116"/>
      <c r="GE152" s="116"/>
      <c r="GF152" s="116"/>
      <c r="GG152" s="116"/>
      <c r="GH152" s="116"/>
      <c r="GJ152" s="1"/>
      <c r="HI152" s="34"/>
      <c r="HN152" s="34"/>
      <c r="AMI152" s="0"/>
      <c r="AMJ152" s="0"/>
    </row>
    <row collapsed="false" customFormat="true" customHeight="true" hidden="false" ht="12.75" outlineLevel="0" r="153" s="4">
      <c r="A153" s="110" t="s">
        <v>445</v>
      </c>
      <c r="B153" s="110"/>
      <c r="C153" s="111" t="n">
        <v>67</v>
      </c>
      <c r="D153" s="112" t="s">
        <v>446</v>
      </c>
      <c r="E153" s="112"/>
      <c r="F153" s="113" t="n">
        <v>1</v>
      </c>
      <c r="G153" s="113" t="n">
        <v>0</v>
      </c>
      <c r="H153" s="113" t="n">
        <v>0</v>
      </c>
      <c r="I153" s="114" t="n">
        <f aca="false">SUM(F153:H153)/3</f>
        <v>0.333333333333333</v>
      </c>
      <c r="J153" s="104"/>
      <c r="K153" s="104"/>
      <c r="R153" s="34"/>
      <c r="CX153" s="35"/>
      <c r="GB153" s="34"/>
      <c r="GC153" s="116"/>
      <c r="GD153" s="116"/>
      <c r="GE153" s="116"/>
      <c r="GF153" s="116"/>
      <c r="GG153" s="116"/>
      <c r="GH153" s="116"/>
      <c r="GJ153" s="1"/>
      <c r="HI153" s="34"/>
      <c r="HN153" s="34"/>
      <c r="AMI153" s="0"/>
      <c r="AMJ153" s="0"/>
    </row>
    <row collapsed="false" customFormat="true" customHeight="true" hidden="false" ht="12.75" outlineLevel="0" r="154" s="4">
      <c r="A154" s="128" t="s">
        <v>447</v>
      </c>
      <c r="B154" s="128"/>
      <c r="C154" s="91" t="n">
        <v>1065</v>
      </c>
      <c r="D154" s="129" t="s">
        <v>352</v>
      </c>
      <c r="E154" s="129"/>
      <c r="F154" s="130" t="n">
        <v>0</v>
      </c>
      <c r="G154" s="130" t="n">
        <v>2</v>
      </c>
      <c r="H154" s="130" t="n">
        <v>0</v>
      </c>
      <c r="I154" s="131" t="n">
        <f aca="false">SUM(F154:H154)/3</f>
        <v>0.666666666666667</v>
      </c>
      <c r="J154" s="104"/>
      <c r="K154" s="104"/>
      <c r="R154" s="34"/>
      <c r="CX154" s="35"/>
      <c r="GB154" s="34"/>
      <c r="GC154" s="116"/>
      <c r="GD154" s="116"/>
      <c r="GE154" s="116"/>
      <c r="GF154" s="116"/>
      <c r="GG154" s="116"/>
      <c r="GH154" s="116"/>
      <c r="GJ154" s="1"/>
      <c r="HI154" s="34"/>
      <c r="HN154" s="34"/>
      <c r="AMI154" s="0"/>
      <c r="AMJ154" s="0"/>
    </row>
    <row collapsed="false" customFormat="true" customHeight="true" hidden="false" ht="12.75" outlineLevel="0" r="155" s="4">
      <c r="A155" s="124" t="s">
        <v>447</v>
      </c>
      <c r="B155" s="124"/>
      <c r="C155" s="95" t="n">
        <v>1065</v>
      </c>
      <c r="D155" s="125" t="s">
        <v>352</v>
      </c>
      <c r="E155" s="125"/>
      <c r="F155" s="126" t="n">
        <v>0</v>
      </c>
      <c r="G155" s="126" t="n">
        <f aca="false">2*2</f>
        <v>4</v>
      </c>
      <c r="H155" s="126" t="n">
        <v>0</v>
      </c>
      <c r="I155" s="108" t="n">
        <f aca="false">SUM(F155:H155)/3</f>
        <v>1.33333333333333</v>
      </c>
      <c r="J155" s="104"/>
      <c r="K155" s="104"/>
      <c r="R155" s="34"/>
      <c r="CX155" s="35"/>
      <c r="GB155" s="34"/>
      <c r="GC155" s="116"/>
      <c r="GD155" s="116"/>
      <c r="GE155" s="116"/>
      <c r="GF155" s="116"/>
      <c r="GG155" s="116"/>
      <c r="GH155" s="116"/>
      <c r="GJ155" s="1"/>
      <c r="HI155" s="34"/>
      <c r="HN155" s="34"/>
      <c r="AMI155" s="0"/>
      <c r="AMJ155" s="0"/>
    </row>
    <row collapsed="false" customFormat="true" customHeight="true" hidden="false" ht="12.75" outlineLevel="0" r="156" s="4">
      <c r="A156" s="110" t="s">
        <v>448</v>
      </c>
      <c r="B156" s="110"/>
      <c r="C156" s="111" t="n">
        <v>955</v>
      </c>
      <c r="D156" s="112" t="s">
        <v>352</v>
      </c>
      <c r="E156" s="112"/>
      <c r="F156" s="113" t="n">
        <v>0</v>
      </c>
      <c r="G156" s="113" t="n">
        <v>2</v>
      </c>
      <c r="H156" s="113" t="n">
        <v>0</v>
      </c>
      <c r="I156" s="114" t="n">
        <f aca="false">SUM(F156:H156)/3</f>
        <v>0.666666666666667</v>
      </c>
      <c r="J156" s="104"/>
      <c r="K156" s="104"/>
      <c r="R156" s="34" t="n">
        <f aca="false">25*$I156</f>
        <v>16.6666666666667</v>
      </c>
      <c r="AI156" s="115" t="n">
        <f aca="false">100*I156</f>
        <v>66.6666666666667</v>
      </c>
      <c r="CX156" s="35"/>
      <c r="GB156" s="34"/>
      <c r="GC156" s="116"/>
      <c r="GD156" s="116"/>
      <c r="GE156" s="116"/>
      <c r="GF156" s="116"/>
      <c r="GG156" s="116"/>
      <c r="GH156" s="116"/>
      <c r="GJ156" s="1"/>
      <c r="HI156" s="34"/>
      <c r="HN156" s="34"/>
      <c r="IQ156" s="115" t="n">
        <f aca="false">50*I156</f>
        <v>33.3333333333333</v>
      </c>
      <c r="AMI156" s="0"/>
      <c r="AMJ156" s="0"/>
    </row>
    <row collapsed="false" customFormat="true" customHeight="true" hidden="false" ht="12.75" outlineLevel="0" r="157" s="4">
      <c r="A157" s="110" t="s">
        <v>449</v>
      </c>
      <c r="B157" s="110"/>
      <c r="C157" s="111" t="n">
        <v>25032</v>
      </c>
      <c r="D157" s="112" t="s">
        <v>360</v>
      </c>
      <c r="E157" s="112" t="n">
        <v>0</v>
      </c>
      <c r="F157" s="113" t="n">
        <v>0</v>
      </c>
      <c r="G157" s="113" t="n">
        <f aca="false">2*2</f>
        <v>4</v>
      </c>
      <c r="H157" s="113" t="n">
        <v>0</v>
      </c>
      <c r="I157" s="114" t="n">
        <f aca="false">SUM(F157:H157)/3</f>
        <v>1.33333333333333</v>
      </c>
      <c r="J157" s="104"/>
      <c r="K157" s="104"/>
      <c r="R157" s="34"/>
      <c r="AI157" s="115"/>
      <c r="CX157" s="35"/>
      <c r="GB157" s="34"/>
      <c r="GC157" s="116"/>
      <c r="GD157" s="116"/>
      <c r="GE157" s="116"/>
      <c r="GF157" s="116"/>
      <c r="GG157" s="116"/>
      <c r="GH157" s="116"/>
      <c r="GJ157" s="1"/>
      <c r="HD157" s="4" t="n">
        <f aca="false">1000*I157</f>
        <v>1333.33333333333</v>
      </c>
      <c r="HI157" s="34"/>
      <c r="HN157" s="34"/>
      <c r="IQ157" s="115"/>
      <c r="AMI157" s="0"/>
      <c r="AMJ157" s="0"/>
    </row>
    <row collapsed="false" customFormat="false" customHeight="true" hidden="false" ht="12.75" outlineLevel="0" r="158">
      <c r="A158" s="138" t="s">
        <v>450</v>
      </c>
      <c r="B158" s="138"/>
      <c r="C158" s="80" t="n">
        <v>485</v>
      </c>
      <c r="D158" s="139" t="s">
        <v>451</v>
      </c>
      <c r="E158" s="139"/>
      <c r="F158" s="140" t="n">
        <v>2</v>
      </c>
      <c r="G158" s="140" t="n">
        <v>0</v>
      </c>
      <c r="H158" s="140" t="n">
        <v>3</v>
      </c>
      <c r="I158" s="241" t="n">
        <f aca="false">SUM(F158:H158)/3</f>
        <v>1.66666666666667</v>
      </c>
      <c r="J158" s="137"/>
      <c r="K158" s="137"/>
      <c r="AQ158" s="115" t="n">
        <f aca="false">130/2*$I158</f>
        <v>108.333333333333</v>
      </c>
      <c r="DW158" s="51" t="n">
        <f aca="false">110*$I158</f>
        <v>183.333333333333</v>
      </c>
      <c r="DX158" s="51" t="n">
        <f aca="false">400*$I158</f>
        <v>666.666666666667</v>
      </c>
      <c r="EN158" s="51" t="n">
        <f aca="false">40/2*$I158</f>
        <v>33.3333333333333</v>
      </c>
      <c r="EO158" s="51"/>
      <c r="FS158" s="51" t="n">
        <f aca="false">190/2*$I158</f>
        <v>158.333333333333</v>
      </c>
    </row>
    <row collapsed="false" customFormat="true" customHeight="true" hidden="false" ht="12.75" outlineLevel="0" r="159" s="173">
      <c r="A159" s="167" t="s">
        <v>452</v>
      </c>
      <c r="B159" s="167"/>
      <c r="C159" s="168" t="n">
        <v>1392</v>
      </c>
      <c r="D159" s="169" t="s">
        <v>453</v>
      </c>
      <c r="E159" s="169"/>
      <c r="F159" s="170"/>
      <c r="G159" s="170"/>
      <c r="H159" s="170"/>
      <c r="I159" s="171" t="n">
        <v>0</v>
      </c>
      <c r="J159" s="185"/>
      <c r="K159" s="185"/>
      <c r="R159" s="174"/>
      <c r="CX159" s="175"/>
      <c r="DY159" s="173" t="n">
        <f aca="false">18/2*I159</f>
        <v>0</v>
      </c>
      <c r="FV159" s="177" t="n">
        <f aca="false">125/2*I159</f>
        <v>0</v>
      </c>
      <c r="GB159" s="174"/>
      <c r="GC159" s="176"/>
      <c r="GD159" s="176"/>
      <c r="GE159" s="176"/>
      <c r="GF159" s="176"/>
      <c r="GG159" s="176"/>
      <c r="GH159" s="176"/>
      <c r="HI159" s="174"/>
      <c r="HN159" s="174"/>
      <c r="AMI159" s="178"/>
      <c r="AMJ159" s="178"/>
    </row>
    <row collapsed="false" customFormat="true" customHeight="true" hidden="false" ht="12.75" outlineLevel="0" r="160" s="4">
      <c r="A160" s="110" t="s">
        <v>454</v>
      </c>
      <c r="B160" s="110"/>
      <c r="C160" s="111" t="n">
        <v>1492</v>
      </c>
      <c r="D160" s="112" t="s">
        <v>286</v>
      </c>
      <c r="E160" s="112"/>
      <c r="F160" s="113" t="n">
        <v>0</v>
      </c>
      <c r="G160" s="113" t="n">
        <f aca="false">4*2</f>
        <v>8</v>
      </c>
      <c r="H160" s="113" t="n">
        <v>0</v>
      </c>
      <c r="I160" s="114" t="n">
        <f aca="false">SUM(F160:H160)/3</f>
        <v>2.66666666666667</v>
      </c>
      <c r="J160" s="104"/>
      <c r="K160" s="104"/>
      <c r="R160" s="34"/>
      <c r="BD160" s="4" t="n">
        <f aca="false">100/2*$I160</f>
        <v>133.333333333333</v>
      </c>
      <c r="CX160" s="35"/>
      <c r="DY160" s="4" t="n">
        <f aca="false">18/2*I160</f>
        <v>24</v>
      </c>
      <c r="EA160" s="4" t="n">
        <f aca="false">150/2*I160</f>
        <v>200</v>
      </c>
      <c r="EB160" s="115" t="n">
        <f aca="false">475/2*$I160</f>
        <v>633.333333333333</v>
      </c>
      <c r="FL160" s="115" t="n">
        <f aca="false">445/2*$I160</f>
        <v>593.333333333333</v>
      </c>
      <c r="FV160" s="115" t="n">
        <f aca="false">125/2*I160</f>
        <v>166.666666666667</v>
      </c>
      <c r="GB160" s="34"/>
      <c r="GC160" s="116"/>
      <c r="GD160" s="116"/>
      <c r="GE160" s="116"/>
      <c r="GF160" s="116"/>
      <c r="GG160" s="116"/>
      <c r="GH160" s="116"/>
      <c r="GJ160" s="1"/>
      <c r="HI160" s="34"/>
      <c r="HN160" s="34"/>
      <c r="AMI160" s="0"/>
      <c r="AMJ160" s="0"/>
    </row>
    <row collapsed="false" customFormat="false" customHeight="true" hidden="false" ht="12.75" outlineLevel="0" r="161">
      <c r="A161" s="141" t="s">
        <v>455</v>
      </c>
      <c r="B161" s="141"/>
      <c r="C161" s="179" t="n">
        <v>563</v>
      </c>
      <c r="D161" s="143" t="s">
        <v>456</v>
      </c>
      <c r="E161" s="143"/>
      <c r="F161" s="144" t="n">
        <v>0</v>
      </c>
      <c r="G161" s="144" t="n">
        <v>0</v>
      </c>
      <c r="H161" s="144" t="n">
        <v>0</v>
      </c>
      <c r="I161" s="102" t="n">
        <f aca="false">SUM(F161:H161)/3</f>
        <v>0</v>
      </c>
      <c r="J161" s="137"/>
      <c r="K161" s="137"/>
      <c r="DZ161" s="181" t="n">
        <f aca="false">15*I161</f>
        <v>0</v>
      </c>
      <c r="EB161" s="4"/>
    </row>
    <row collapsed="false" customFormat="false" customHeight="true" hidden="false" ht="12.75" outlineLevel="0" r="162">
      <c r="A162" s="124" t="s">
        <v>455</v>
      </c>
      <c r="B162" s="124"/>
      <c r="C162" s="95" t="n">
        <v>563</v>
      </c>
      <c r="D162" s="125" t="s">
        <v>456</v>
      </c>
      <c r="E162" s="125"/>
      <c r="F162" s="126" t="n">
        <v>1</v>
      </c>
      <c r="G162" s="126" t="n">
        <v>0</v>
      </c>
      <c r="H162" s="126" t="n">
        <v>0</v>
      </c>
      <c r="I162" s="194" t="n">
        <f aca="false">SUM(F162:H162)/3</f>
        <v>0.333333333333333</v>
      </c>
      <c r="J162" s="137"/>
      <c r="K162" s="137"/>
      <c r="DZ162" s="127" t="n">
        <f aca="false">15*I162</f>
        <v>5</v>
      </c>
      <c r="EA162" s="115"/>
      <c r="EB162" s="115"/>
    </row>
    <row collapsed="false" customFormat="true" customHeight="true" hidden="false" ht="12.75" outlineLevel="0" r="163" s="4">
      <c r="A163" s="128" t="s">
        <v>457</v>
      </c>
      <c r="B163" s="128"/>
      <c r="C163" s="91" t="n">
        <v>56</v>
      </c>
      <c r="D163" s="129" t="s">
        <v>277</v>
      </c>
      <c r="E163" s="129"/>
      <c r="F163" s="130" t="n">
        <v>1</v>
      </c>
      <c r="G163" s="130" t="n">
        <v>0</v>
      </c>
      <c r="H163" s="130" t="n">
        <v>0</v>
      </c>
      <c r="I163" s="237" t="n">
        <f aca="false">SUM(F163:H163)/3</f>
        <v>0.333333333333333</v>
      </c>
      <c r="J163" s="104"/>
      <c r="K163" s="104"/>
      <c r="R163" s="34"/>
      <c r="CX163" s="35"/>
      <c r="GB163" s="34"/>
      <c r="GC163" s="116"/>
      <c r="GD163" s="116"/>
      <c r="GE163" s="116"/>
      <c r="GF163" s="116"/>
      <c r="GG163" s="116"/>
      <c r="GH163" s="116"/>
      <c r="GJ163" s="1"/>
      <c r="HI163" s="34"/>
      <c r="HN163" s="34"/>
      <c r="AMI163" s="0"/>
      <c r="AMJ163" s="0"/>
    </row>
    <row collapsed="false" customFormat="true" customHeight="true" hidden="false" ht="12.75" outlineLevel="0" r="164" s="4">
      <c r="A164" s="124" t="s">
        <v>457</v>
      </c>
      <c r="B164" s="124"/>
      <c r="C164" s="95" t="n">
        <v>56</v>
      </c>
      <c r="D164" s="125" t="s">
        <v>277</v>
      </c>
      <c r="E164" s="125"/>
      <c r="F164" s="126" t="n">
        <f aca="false">1</f>
        <v>1</v>
      </c>
      <c r="G164" s="126" t="n">
        <v>0</v>
      </c>
      <c r="H164" s="126" t="n">
        <v>0</v>
      </c>
      <c r="I164" s="194" t="n">
        <f aca="false">SUM(F164:H164)/3</f>
        <v>0.333333333333333</v>
      </c>
      <c r="J164" s="104"/>
      <c r="K164" s="104"/>
      <c r="R164" s="34"/>
      <c r="CX164" s="35"/>
      <c r="GB164" s="34"/>
      <c r="GC164" s="116"/>
      <c r="GD164" s="116"/>
      <c r="GE164" s="116"/>
      <c r="GF164" s="116"/>
      <c r="GG164" s="116"/>
      <c r="GH164" s="116"/>
      <c r="GJ164" s="1"/>
      <c r="HI164" s="34"/>
      <c r="HN164" s="34"/>
      <c r="AMI164" s="0"/>
      <c r="AMJ164" s="0"/>
    </row>
    <row collapsed="false" customFormat="true" customHeight="true" hidden="false" ht="12.75" outlineLevel="0" r="165" s="173">
      <c r="A165" s="167" t="s">
        <v>458</v>
      </c>
      <c r="B165" s="167"/>
      <c r="C165" s="168" t="n">
        <v>977</v>
      </c>
      <c r="D165" s="169" t="s">
        <v>459</v>
      </c>
      <c r="E165" s="169"/>
      <c r="F165" s="170"/>
      <c r="G165" s="170"/>
      <c r="H165" s="170"/>
      <c r="I165" s="236" t="n">
        <v>0</v>
      </c>
      <c r="J165" s="185"/>
      <c r="K165" s="185"/>
      <c r="R165" s="174"/>
      <c r="CX165" s="175"/>
      <c r="GB165" s="174"/>
      <c r="GC165" s="176"/>
      <c r="GD165" s="176"/>
      <c r="GE165" s="176"/>
      <c r="GF165" s="176"/>
      <c r="GG165" s="176"/>
      <c r="GH165" s="176"/>
      <c r="HI165" s="174"/>
      <c r="HN165" s="174"/>
      <c r="AMI165" s="178"/>
      <c r="AMJ165" s="178"/>
    </row>
    <row collapsed="false" customFormat="true" customHeight="true" hidden="false" ht="12.75" outlineLevel="0" r="166" s="4">
      <c r="A166" s="110" t="s">
        <v>460</v>
      </c>
      <c r="B166" s="110"/>
      <c r="C166" s="111" t="n">
        <v>1050</v>
      </c>
      <c r="D166" s="112" t="s">
        <v>423</v>
      </c>
      <c r="E166" s="112"/>
      <c r="F166" s="113" t="n">
        <v>0</v>
      </c>
      <c r="G166" s="113" t="n">
        <f aca="false">2*2</f>
        <v>4</v>
      </c>
      <c r="H166" s="113" t="n">
        <v>0</v>
      </c>
      <c r="I166" s="242" t="n">
        <f aca="false">SUM(F166:H166)/3</f>
        <v>1.33333333333333</v>
      </c>
      <c r="J166" s="104"/>
      <c r="K166" s="104"/>
      <c r="R166" s="34"/>
      <c r="BV166" s="4" t="n">
        <f aca="false">90/2*$I166</f>
        <v>60</v>
      </c>
      <c r="CI166" s="4" t="n">
        <f aca="false">180/2*$I166</f>
        <v>120</v>
      </c>
      <c r="CX166" s="35"/>
      <c r="GB166" s="34"/>
      <c r="GC166" s="116"/>
      <c r="GD166" s="116"/>
      <c r="GE166" s="116"/>
      <c r="GF166" s="116"/>
      <c r="GG166" s="116"/>
      <c r="GH166" s="116"/>
      <c r="GJ166" s="1"/>
      <c r="HI166" s="34"/>
      <c r="HN166" s="34"/>
      <c r="AMI166" s="0"/>
      <c r="AMJ166" s="0"/>
    </row>
    <row collapsed="false" customFormat="true" customHeight="true" hidden="false" ht="12.75" outlineLevel="0" r="167" s="4">
      <c r="A167" s="110" t="s">
        <v>461</v>
      </c>
      <c r="B167" s="110"/>
      <c r="C167" s="111" t="n">
        <v>316</v>
      </c>
      <c r="D167" s="112" t="s">
        <v>462</v>
      </c>
      <c r="E167" s="112"/>
      <c r="F167" s="113" t="n">
        <v>0</v>
      </c>
      <c r="G167" s="113" t="n">
        <v>2</v>
      </c>
      <c r="H167" s="113" t="n">
        <v>0</v>
      </c>
      <c r="I167" s="114" t="n">
        <f aca="false">SUM(F167:H167)/3</f>
        <v>0.666666666666667</v>
      </c>
      <c r="J167" s="104"/>
      <c r="K167" s="104"/>
      <c r="Q167" s="4" t="n">
        <f aca="false">60/2*$I167</f>
        <v>20</v>
      </c>
      <c r="R167" s="34"/>
      <c r="CS167" s="243"/>
      <c r="CT167" s="243"/>
      <c r="CX167" s="35"/>
      <c r="CY167" s="115" t="n">
        <f aca="false">700*$I167/2</f>
        <v>233.333333333333</v>
      </c>
      <c r="GB167" s="34"/>
      <c r="GC167" s="116"/>
      <c r="GD167" s="116"/>
      <c r="GE167" s="116"/>
      <c r="GF167" s="116"/>
      <c r="GG167" s="116"/>
      <c r="GH167" s="116"/>
      <c r="GJ167" s="1"/>
      <c r="HI167" s="34"/>
      <c r="HN167" s="34"/>
      <c r="AMI167" s="0"/>
      <c r="AMJ167" s="0"/>
    </row>
    <row collapsed="false" customFormat="true" customHeight="true" hidden="false" ht="12.75" outlineLevel="0" r="168" s="4">
      <c r="A168" s="110" t="s">
        <v>463</v>
      </c>
      <c r="B168" s="110"/>
      <c r="C168" s="111" t="n">
        <v>789</v>
      </c>
      <c r="D168" s="112" t="s">
        <v>286</v>
      </c>
      <c r="E168" s="112"/>
      <c r="F168" s="113" t="n">
        <v>0</v>
      </c>
      <c r="G168" s="113" t="n">
        <f aca="false">2*2</f>
        <v>4</v>
      </c>
      <c r="H168" s="113" t="n">
        <v>0</v>
      </c>
      <c r="I168" s="242" t="n">
        <f aca="false">SUM(F168:H168)/3</f>
        <v>1.33333333333333</v>
      </c>
      <c r="J168" s="104"/>
      <c r="K168" s="104"/>
      <c r="R168" s="34"/>
      <c r="CS168" s="243"/>
      <c r="CT168" s="243"/>
      <c r="CX168" s="35"/>
      <c r="CY168" s="4" t="n">
        <f aca="false">600*I168</f>
        <v>800</v>
      </c>
      <c r="GB168" s="34"/>
      <c r="GC168" s="116"/>
      <c r="GD168" s="116"/>
      <c r="GE168" s="116"/>
      <c r="GF168" s="116"/>
      <c r="GG168" s="116"/>
      <c r="GH168" s="116"/>
      <c r="HI168" s="34"/>
      <c r="HN168" s="34"/>
      <c r="AMI168" s="0"/>
      <c r="AMJ168" s="0"/>
    </row>
    <row collapsed="false" customFormat="true" customHeight="true" hidden="false" ht="12.75" outlineLevel="0" r="169" s="4">
      <c r="A169" s="110" t="s">
        <v>464</v>
      </c>
      <c r="B169" s="110"/>
      <c r="C169" s="111" t="n">
        <v>513</v>
      </c>
      <c r="D169" s="112" t="s">
        <v>277</v>
      </c>
      <c r="E169" s="112"/>
      <c r="F169" s="113" t="n">
        <v>0</v>
      </c>
      <c r="G169" s="113" t="n">
        <v>2</v>
      </c>
      <c r="H169" s="113" t="n">
        <v>0</v>
      </c>
      <c r="I169" s="114" t="n">
        <f aca="false">SUM(F169:H169)/3</f>
        <v>0.666666666666667</v>
      </c>
      <c r="J169" s="104"/>
      <c r="K169" s="104"/>
      <c r="R169" s="34"/>
      <c r="U169" s="4" t="n">
        <f aca="false">300*$I169</f>
        <v>200</v>
      </c>
      <c r="CS169" s="243"/>
      <c r="CT169" s="243"/>
      <c r="CX169" s="35"/>
      <c r="GB169" s="34"/>
      <c r="GC169" s="116"/>
      <c r="GD169" s="116"/>
      <c r="GE169" s="116"/>
      <c r="GF169" s="116"/>
      <c r="GG169" s="116"/>
      <c r="GH169" s="116"/>
      <c r="GJ169" s="1"/>
      <c r="HI169" s="34"/>
      <c r="HN169" s="34"/>
      <c r="AMI169" s="0"/>
      <c r="AMJ169" s="0"/>
    </row>
    <row collapsed="false" customFormat="false" customHeight="true" hidden="false" ht="12.75" outlineLevel="0" r="170">
      <c r="A170" s="149" t="s">
        <v>465</v>
      </c>
      <c r="B170" s="149"/>
      <c r="C170" s="239" t="n">
        <v>40</v>
      </c>
      <c r="D170" s="151" t="s">
        <v>466</v>
      </c>
      <c r="E170" s="151"/>
      <c r="F170" s="152"/>
      <c r="G170" s="152"/>
      <c r="H170" s="152"/>
      <c r="I170" s="180" t="n">
        <f aca="false">1.5</f>
        <v>1.5</v>
      </c>
      <c r="J170" s="137"/>
      <c r="K170" s="137"/>
      <c r="R170" s="34"/>
      <c r="V170" s="240" t="n">
        <f aca="false">I170*1000*0.83</f>
        <v>1245</v>
      </c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243"/>
      <c r="CT170" s="243"/>
      <c r="CU170" s="4"/>
      <c r="CW170" s="4"/>
      <c r="CX170" s="35"/>
      <c r="CY170" s="4"/>
    </row>
    <row collapsed="false" customFormat="false" customHeight="true" hidden="false" ht="12.75" outlineLevel="0" r="171">
      <c r="A171" s="149" t="s">
        <v>465</v>
      </c>
      <c r="B171" s="149"/>
      <c r="C171" s="239" t="n">
        <v>40</v>
      </c>
      <c r="D171" s="151" t="s">
        <v>466</v>
      </c>
      <c r="E171" s="151"/>
      <c r="F171" s="152"/>
      <c r="G171" s="152"/>
      <c r="H171" s="152"/>
      <c r="I171" s="108" t="n">
        <f aca="false">1</f>
        <v>1</v>
      </c>
      <c r="J171" s="137"/>
      <c r="K171" s="137"/>
      <c r="R171" s="34"/>
      <c r="V171" s="244" t="n">
        <f aca="false">I171*1000*0.83</f>
        <v>830</v>
      </c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W171" s="4"/>
      <c r="CX171" s="35"/>
      <c r="CY171" s="4"/>
    </row>
    <row collapsed="false" customFormat="true" customHeight="true" hidden="false" ht="12.75" outlineLevel="0" r="172" s="4">
      <c r="A172" s="149" t="s">
        <v>467</v>
      </c>
      <c r="B172" s="149"/>
      <c r="C172" s="239" t="n">
        <v>51</v>
      </c>
      <c r="D172" s="151" t="s">
        <v>307</v>
      </c>
      <c r="E172" s="151"/>
      <c r="F172" s="152"/>
      <c r="G172" s="152"/>
      <c r="H172" s="152"/>
      <c r="I172" s="102" t="n">
        <f aca="false">1.2*500*2/3</f>
        <v>400</v>
      </c>
      <c r="J172" s="104"/>
      <c r="K172" s="104"/>
      <c r="R172" s="34"/>
      <c r="AU172" s="146" t="n">
        <f aca="false">370/529*$I172</f>
        <v>279.773156899811</v>
      </c>
      <c r="CX172" s="35"/>
      <c r="GB172" s="34"/>
      <c r="GC172" s="116"/>
      <c r="GD172" s="116"/>
      <c r="GE172" s="116"/>
      <c r="GF172" s="116"/>
      <c r="GG172" s="116"/>
      <c r="GH172" s="116"/>
      <c r="GJ172" s="1"/>
      <c r="HI172" s="34"/>
      <c r="HN172" s="34"/>
      <c r="AMI172" s="0"/>
      <c r="AMJ172" s="0"/>
    </row>
    <row collapsed="false" customFormat="true" customHeight="true" hidden="false" ht="12.75" outlineLevel="0" r="173" s="4">
      <c r="A173" s="149" t="s">
        <v>467</v>
      </c>
      <c r="B173" s="149"/>
      <c r="C173" s="239" t="n">
        <v>51</v>
      </c>
      <c r="D173" s="151" t="s">
        <v>307</v>
      </c>
      <c r="E173" s="151"/>
      <c r="F173" s="152"/>
      <c r="G173" s="152"/>
      <c r="H173" s="152"/>
      <c r="I173" s="108" t="n">
        <f aca="false">0.8*500*2/3</f>
        <v>266.666666666667</v>
      </c>
      <c r="J173" s="104"/>
      <c r="K173" s="104"/>
      <c r="R173" s="34"/>
      <c r="AU173" s="127" t="n">
        <f aca="false">370/529*$I173</f>
        <v>186.515437933207</v>
      </c>
      <c r="CX173" s="35"/>
      <c r="GB173" s="34"/>
      <c r="GC173" s="116"/>
      <c r="GD173" s="116"/>
      <c r="GE173" s="116"/>
      <c r="GF173" s="116"/>
      <c r="GG173" s="116"/>
      <c r="GH173" s="116"/>
      <c r="GJ173" s="1"/>
      <c r="HI173" s="34"/>
      <c r="HN173" s="34"/>
      <c r="AMI173" s="0"/>
      <c r="AMJ173" s="0"/>
    </row>
    <row collapsed="false" customFormat="true" customHeight="true" hidden="false" ht="12.75" outlineLevel="0" r="174" s="4">
      <c r="A174" s="110" t="s">
        <v>467</v>
      </c>
      <c r="B174" s="110"/>
      <c r="C174" s="111" t="n">
        <v>1041</v>
      </c>
      <c r="D174" s="112" t="s">
        <v>281</v>
      </c>
      <c r="E174" s="112"/>
      <c r="F174" s="113" t="n">
        <v>2</v>
      </c>
      <c r="G174" s="113" t="n">
        <v>0</v>
      </c>
      <c r="H174" s="113" t="n">
        <v>0</v>
      </c>
      <c r="I174" s="114" t="n">
        <f aca="false">SUM(F174:H174)/3</f>
        <v>0.666666666666667</v>
      </c>
      <c r="J174" s="104"/>
      <c r="K174" s="104"/>
      <c r="R174" s="34"/>
      <c r="AU174" s="115" t="n">
        <f aca="false">500*$I174</f>
        <v>333.333333333333</v>
      </c>
      <c r="CX174" s="35"/>
      <c r="GB174" s="34"/>
      <c r="GC174" s="116"/>
      <c r="GD174" s="116"/>
      <c r="GE174" s="116"/>
      <c r="GF174" s="116"/>
      <c r="GG174" s="116"/>
      <c r="GH174" s="116"/>
      <c r="GJ174" s="1"/>
      <c r="HI174" s="34"/>
      <c r="HN174" s="34"/>
      <c r="AMI174" s="0"/>
      <c r="AMJ174" s="0"/>
    </row>
    <row collapsed="false" customFormat="true" customHeight="true" hidden="false" ht="12.75" outlineLevel="0" r="175" s="4">
      <c r="A175" s="110" t="s">
        <v>468</v>
      </c>
      <c r="B175" s="110"/>
      <c r="C175" s="111" t="n">
        <v>1439</v>
      </c>
      <c r="D175" s="112" t="s">
        <v>469</v>
      </c>
      <c r="E175" s="112"/>
      <c r="F175" s="113" t="n">
        <v>0</v>
      </c>
      <c r="G175" s="113" t="n">
        <v>2</v>
      </c>
      <c r="H175" s="113" t="n">
        <v>0</v>
      </c>
      <c r="I175" s="114" t="n">
        <f aca="false">SUM(F175:H175)/3</f>
        <v>0.666666666666667</v>
      </c>
      <c r="J175" s="104"/>
      <c r="K175" s="104"/>
      <c r="R175" s="34"/>
      <c r="AU175" s="115"/>
      <c r="CP175" s="115" t="n">
        <f aca="false">1000*I175</f>
        <v>666.666666666667</v>
      </c>
      <c r="CX175" s="35"/>
      <c r="GB175" s="34"/>
      <c r="GC175" s="116"/>
      <c r="GD175" s="116"/>
      <c r="GE175" s="116"/>
      <c r="GF175" s="116"/>
      <c r="GG175" s="116"/>
      <c r="GH175" s="116"/>
      <c r="GJ175" s="1"/>
      <c r="HI175" s="34"/>
      <c r="HN175" s="34"/>
      <c r="AMI175" s="0"/>
      <c r="AMJ175" s="0"/>
    </row>
    <row collapsed="false" customFormat="false" customHeight="true" hidden="false" ht="12.75" outlineLevel="0" r="176">
      <c r="A176" s="118" t="s">
        <v>470</v>
      </c>
      <c r="B176" s="118"/>
      <c r="C176" s="119" t="n">
        <v>43</v>
      </c>
      <c r="D176" s="120" t="s">
        <v>471</v>
      </c>
      <c r="E176" s="120"/>
      <c r="F176" s="121" t="n">
        <v>0</v>
      </c>
      <c r="G176" s="121" t="n">
        <v>0</v>
      </c>
      <c r="H176" s="121" t="n">
        <f aca="false">3*3</f>
        <v>9</v>
      </c>
      <c r="I176" s="245" t="n">
        <f aca="false">SUM(F176:H176)/3</f>
        <v>3</v>
      </c>
      <c r="J176" s="137"/>
      <c r="K176" s="137"/>
      <c r="Z176" s="4"/>
      <c r="FH176" s="189" t="n">
        <f aca="false">500*I176</f>
        <v>1500</v>
      </c>
    </row>
    <row collapsed="false" customFormat="false" customHeight="true" hidden="false" ht="12.75" outlineLevel="0" r="177">
      <c r="A177" s="124" t="s">
        <v>470</v>
      </c>
      <c r="B177" s="124"/>
      <c r="C177" s="95" t="n">
        <v>43</v>
      </c>
      <c r="D177" s="125" t="s">
        <v>471</v>
      </c>
      <c r="E177" s="125"/>
      <c r="F177" s="126" t="n">
        <v>0</v>
      </c>
      <c r="G177" s="126" t="n">
        <v>0</v>
      </c>
      <c r="H177" s="126" t="n">
        <f aca="false">2*3</f>
        <v>6</v>
      </c>
      <c r="I177" s="108" t="n">
        <f aca="false">SUM(F177:H177)/3</f>
        <v>2</v>
      </c>
      <c r="J177" s="137"/>
      <c r="K177" s="137"/>
      <c r="Z177" s="4"/>
      <c r="FH177" s="36" t="n">
        <f aca="false">500*$I177</f>
        <v>1000</v>
      </c>
    </row>
    <row collapsed="false" customFormat="false" customHeight="true" hidden="false" ht="12.75" outlineLevel="0" r="178">
      <c r="A178" s="110" t="s">
        <v>472</v>
      </c>
      <c r="B178" s="110"/>
      <c r="C178" s="111" t="n">
        <v>17009</v>
      </c>
      <c r="D178" s="112" t="s">
        <v>425</v>
      </c>
      <c r="E178" s="112"/>
      <c r="F178" s="113" t="n">
        <f aca="false">2</f>
        <v>2</v>
      </c>
      <c r="G178" s="113" t="n">
        <v>2</v>
      </c>
      <c r="H178" s="113" t="n">
        <v>0</v>
      </c>
      <c r="I178" s="114" t="n">
        <f aca="false">SUM(F178:H178)/3</f>
        <v>1.33333333333333</v>
      </c>
      <c r="J178" s="104"/>
      <c r="K178" s="104"/>
      <c r="L178" s="4"/>
      <c r="M178" s="4"/>
      <c r="N178" s="4"/>
      <c r="O178" s="4"/>
      <c r="P178" s="4"/>
      <c r="Q178" s="4"/>
      <c r="R178" s="34"/>
      <c r="S178" s="4"/>
      <c r="T178" s="4"/>
      <c r="AN178" s="4"/>
      <c r="AO178" s="4"/>
      <c r="AP178" s="4"/>
      <c r="AS178" s="4"/>
      <c r="AT178" s="4"/>
      <c r="AU178" s="4"/>
      <c r="AW178" s="4"/>
      <c r="AX178" s="4"/>
      <c r="AY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W178" s="4"/>
      <c r="CX178" s="35"/>
      <c r="CY178" s="4"/>
      <c r="DE178" s="4"/>
      <c r="DF178" s="4"/>
      <c r="FV178" s="4"/>
      <c r="FW178" s="4"/>
      <c r="FX178" s="4"/>
      <c r="GI178" s="51" t="n">
        <f aca="false">3000/3*$I178</f>
        <v>1333.33333333333</v>
      </c>
      <c r="IP178" s="4"/>
      <c r="IQ178" s="4"/>
      <c r="IR178" s="4"/>
      <c r="IS178" s="4"/>
      <c r="IT178" s="4"/>
    </row>
    <row collapsed="false" customFormat="false" customHeight="true" hidden="false" ht="12.75" outlineLevel="0" r="179">
      <c r="A179" s="110" t="s">
        <v>473</v>
      </c>
      <c r="B179" s="110"/>
      <c r="C179" s="111" t="n">
        <v>555</v>
      </c>
      <c r="D179" s="112" t="s">
        <v>474</v>
      </c>
      <c r="E179" s="112"/>
      <c r="F179" s="113"/>
      <c r="G179" s="113"/>
      <c r="H179" s="113"/>
      <c r="I179" s="114" t="s">
        <v>436</v>
      </c>
      <c r="J179" s="104"/>
      <c r="K179" s="104"/>
      <c r="L179" s="4"/>
      <c r="M179" s="4"/>
      <c r="N179" s="4"/>
      <c r="O179" s="4"/>
      <c r="P179" s="4"/>
      <c r="Q179" s="4"/>
      <c r="R179" s="34"/>
      <c r="S179" s="4"/>
      <c r="T179" s="4"/>
      <c r="AN179" s="4"/>
      <c r="AO179" s="4"/>
      <c r="AP179" s="4"/>
      <c r="AS179" s="4"/>
      <c r="AT179" s="4"/>
      <c r="AU179" s="4"/>
      <c r="AW179" s="4"/>
      <c r="AX179" s="4"/>
      <c r="AY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W179" s="4"/>
      <c r="CX179" s="35"/>
      <c r="CY179" s="4"/>
      <c r="DE179" s="4"/>
      <c r="DF179" s="4"/>
      <c r="FV179" s="4"/>
      <c r="FW179" s="4"/>
      <c r="FX179" s="4"/>
      <c r="IP179" s="4"/>
      <c r="IQ179" s="4"/>
      <c r="IR179" s="4"/>
      <c r="IS179" s="4"/>
      <c r="IT179" s="4"/>
    </row>
    <row collapsed="false" customFormat="false" customHeight="true" hidden="false" ht="12.75" outlineLevel="0" r="180">
      <c r="A180" s="141" t="s">
        <v>475</v>
      </c>
      <c r="B180" s="141"/>
      <c r="C180" s="179" t="n">
        <v>20</v>
      </c>
      <c r="D180" s="143" t="s">
        <v>476</v>
      </c>
      <c r="E180" s="143"/>
      <c r="F180" s="144" t="n">
        <v>0</v>
      </c>
      <c r="G180" s="144" t="n">
        <f aca="false">0.6*20*2</f>
        <v>24</v>
      </c>
      <c r="H180" s="144" t="n">
        <v>0</v>
      </c>
      <c r="I180" s="180" t="n">
        <f aca="false">SUM(F180:H180)/3</f>
        <v>8</v>
      </c>
      <c r="J180" s="137"/>
      <c r="K180" s="137"/>
      <c r="R180" s="34"/>
      <c r="AH180" s="4"/>
      <c r="AI180" s="4"/>
      <c r="AJ180" s="181" t="n">
        <f aca="false">2.2/10*$I180</f>
        <v>1.76</v>
      </c>
      <c r="AK180" s="4"/>
      <c r="AL180" s="4"/>
      <c r="AQ180" s="29" t="n">
        <f aca="false">72/10*$I180</f>
        <v>57.6</v>
      </c>
      <c r="BC180" s="29" t="n">
        <f aca="false">1000*0.26*0.135*$I180</f>
        <v>280.8</v>
      </c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W180" s="4"/>
      <c r="CX180" s="35"/>
      <c r="CY180" s="4"/>
      <c r="FO180" s="181" t="n">
        <f aca="false">2600/10*$I180</f>
        <v>2080</v>
      </c>
      <c r="FP180" s="181" t="n">
        <f aca="false">2000/10*$I180</f>
        <v>1600</v>
      </c>
      <c r="FQ180" s="181" t="n">
        <f aca="false">1400/10*$I180</f>
        <v>1120</v>
      </c>
      <c r="FS180" s="181" t="n">
        <f aca="false">315/10*$I180</f>
        <v>252</v>
      </c>
      <c r="FT180" s="4"/>
      <c r="FU180" s="4"/>
      <c r="FY180" s="145" t="n">
        <f aca="false">118/10*$I180</f>
        <v>94.4</v>
      </c>
      <c r="II180" s="181" t="n">
        <f aca="false">149/10*I180</f>
        <v>119.2</v>
      </c>
    </row>
    <row collapsed="false" customFormat="false" customHeight="true" hidden="false" ht="12.75" outlineLevel="0" r="181">
      <c r="A181" s="124" t="s">
        <v>475</v>
      </c>
      <c r="B181" s="124"/>
      <c r="C181" s="95" t="n">
        <v>20</v>
      </c>
      <c r="D181" s="125" t="s">
        <v>476</v>
      </c>
      <c r="E181" s="125"/>
      <c r="F181" s="126" t="n">
        <v>0</v>
      </c>
      <c r="G181" s="126" t="n">
        <f aca="false">0.4*20*2</f>
        <v>16</v>
      </c>
      <c r="H181" s="126" t="n">
        <v>0</v>
      </c>
      <c r="I181" s="108" t="n">
        <f aca="false">SUM(F181:H181)/3</f>
        <v>5.33333333333333</v>
      </c>
      <c r="J181" s="137"/>
      <c r="K181" s="137"/>
      <c r="R181" s="34"/>
      <c r="AH181" s="4"/>
      <c r="AI181" s="4"/>
      <c r="AJ181" s="36" t="n">
        <f aca="false">2.2/10*$I181</f>
        <v>1.17333333333333</v>
      </c>
      <c r="AK181" s="4"/>
      <c r="AL181" s="4"/>
      <c r="AQ181" s="36" t="n">
        <f aca="false">72/10*$I181</f>
        <v>38.4</v>
      </c>
      <c r="BC181" s="36" t="n">
        <f aca="false">1000*0.26*0.135*$I181</f>
        <v>187.2</v>
      </c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W181" s="4"/>
      <c r="CX181" s="35"/>
      <c r="CY181" s="4"/>
      <c r="FO181" s="127" t="n">
        <f aca="false">2600/10*$I181</f>
        <v>1386.66666666667</v>
      </c>
      <c r="FP181" s="127" t="n">
        <f aca="false">2000/10*$I181</f>
        <v>1066.66666666667</v>
      </c>
      <c r="FQ181" s="127" t="n">
        <f aca="false">1400/10*$I181</f>
        <v>746.666666666667</v>
      </c>
      <c r="FS181" s="127" t="n">
        <f aca="false">315/10*$I181</f>
        <v>168</v>
      </c>
      <c r="FT181" s="115"/>
      <c r="FU181" s="115"/>
      <c r="FY181" s="127" t="n">
        <f aca="false">118/10*$I181</f>
        <v>62.9333333333333</v>
      </c>
      <c r="GJ181" s="51"/>
      <c r="II181" s="36" t="n">
        <f aca="false">149/10*I181</f>
        <v>79.4666666666667</v>
      </c>
    </row>
    <row collapsed="false" customFormat="false" customHeight="true" hidden="false" ht="12.75" outlineLevel="0" r="182">
      <c r="A182" s="141" t="s">
        <v>477</v>
      </c>
      <c r="B182" s="141"/>
      <c r="C182" s="179" t="n">
        <v>1557</v>
      </c>
      <c r="D182" s="143" t="s">
        <v>478</v>
      </c>
      <c r="E182" s="143"/>
      <c r="F182" s="144" t="n">
        <v>0</v>
      </c>
      <c r="G182" s="144" t="n">
        <f aca="false">6*2</f>
        <v>12</v>
      </c>
      <c r="H182" s="144" t="n">
        <v>0</v>
      </c>
      <c r="I182" s="102" t="n">
        <f aca="false">SUM(F182:H182)/3</f>
        <v>4</v>
      </c>
      <c r="J182" s="137"/>
      <c r="K182" s="137"/>
      <c r="L182" s="145" t="n">
        <f aca="false">300/9*I182</f>
        <v>133.333333333333</v>
      </c>
      <c r="M182" s="4"/>
      <c r="N182" s="4"/>
      <c r="O182" s="4"/>
      <c r="P182" s="148" t="n">
        <f aca="false">0/9*$I182</f>
        <v>0</v>
      </c>
      <c r="Q182" s="115"/>
      <c r="R182" s="34"/>
      <c r="S182" s="145" t="n">
        <f aca="false">0.36*30/9*I182</f>
        <v>4.8</v>
      </c>
      <c r="T182" s="145" t="n">
        <f aca="false">(7.35+1.25)/9*I182</f>
        <v>3.82222222222222</v>
      </c>
      <c r="AH182" s="145" t="n">
        <f aca="false">0.9*5000/9*I182</f>
        <v>2000</v>
      </c>
      <c r="AI182" s="115"/>
      <c r="AJ182" s="4"/>
      <c r="AK182" s="4"/>
      <c r="AL182" s="145" t="n">
        <f aca="false">3000*$I182/9</f>
        <v>1333.33333333333</v>
      </c>
      <c r="AM182" s="51"/>
      <c r="AN182" s="145" t="n">
        <f aca="false">3/9*I182</f>
        <v>1.33333333333333</v>
      </c>
      <c r="AO182" s="145" t="n">
        <f aca="false">525/9*I182</f>
        <v>233.333333333333</v>
      </c>
      <c r="AP182" s="181" t="n">
        <f aca="false">15/9*I182</f>
        <v>6.66666666666667</v>
      </c>
      <c r="AQ182" s="146" t="n">
        <f aca="false">218*$I182/9</f>
        <v>96.8888888888889</v>
      </c>
      <c r="AR182" s="115"/>
      <c r="AS182" s="4"/>
      <c r="AT182" s="4"/>
      <c r="AU182" s="4"/>
      <c r="AW182" s="115"/>
      <c r="AX182" s="4"/>
      <c r="AY182" s="181" t="n">
        <f aca="false">0*325/9*$I182</f>
        <v>0</v>
      </c>
      <c r="AZ182" s="4"/>
      <c r="BC182" s="145" t="n">
        <f aca="false">120/9*$I182</f>
        <v>53.3333333333333</v>
      </c>
      <c r="BD182" s="145" t="n">
        <f aca="false">500*$I182/9</f>
        <v>222.222222222222</v>
      </c>
      <c r="BE182" s="115"/>
      <c r="BF182" s="115"/>
      <c r="BG182" s="146" t="n">
        <f aca="false">67/9*I182</f>
        <v>29.7777777777778</v>
      </c>
      <c r="BH182" s="4"/>
      <c r="BI182" s="145" t="n">
        <f aca="false">1*$I182/9</f>
        <v>0.444444444444444</v>
      </c>
      <c r="BJ182" s="115"/>
      <c r="BN182" s="51"/>
      <c r="BP182" s="145" t="n">
        <f aca="false">600/9*$I182</f>
        <v>266.666666666667</v>
      </c>
      <c r="BY182" s="145" t="n">
        <f aca="false">0*$I182/9</f>
        <v>0</v>
      </c>
      <c r="BZ182" s="115"/>
      <c r="CA182" s="115"/>
      <c r="CF182" s="115"/>
      <c r="CG182" s="115"/>
      <c r="CH182" s="115"/>
      <c r="CI182" s="4"/>
      <c r="CJ182" s="181" t="n">
        <f aca="false">0.45*325/9*$I182</f>
        <v>65</v>
      </c>
      <c r="CK182" s="4"/>
      <c r="CL182" s="4"/>
      <c r="CM182" s="132" t="n">
        <f aca="false">0.5*200/9*$I182</f>
        <v>44.4444444444444</v>
      </c>
      <c r="CN182" s="132" t="n">
        <f aca="false">0*200/9*I182</f>
        <v>0</v>
      </c>
      <c r="CO182" s="181" t="n">
        <f aca="false">0*200/9*I182</f>
        <v>0</v>
      </c>
      <c r="CP182" s="4"/>
      <c r="CQ182" s="145" t="n">
        <f aca="false">400*$I182/9</f>
        <v>177.777777777778</v>
      </c>
      <c r="CR182" s="115"/>
      <c r="CS182" s="145" t="n">
        <f aca="false">200/9*$I182</f>
        <v>88.8888888888889</v>
      </c>
      <c r="CT182" s="145"/>
      <c r="CU182" s="115"/>
      <c r="CV182" s="115"/>
      <c r="CW182" s="145" t="n">
        <f aca="false">(0*25)/9*I182</f>
        <v>0</v>
      </c>
      <c r="CX182" s="35"/>
      <c r="CY182" s="4"/>
      <c r="DA182" s="145" t="n">
        <f aca="false">200/9*0.05*$I182</f>
        <v>4.44444444444444</v>
      </c>
      <c r="DC182" s="4"/>
      <c r="DE182" s="145" t="n">
        <f aca="false">(408/448*200)/9*$I182</f>
        <v>80.952380952381</v>
      </c>
      <c r="DF182" s="115"/>
      <c r="DQ182" s="145" t="n">
        <f aca="false">0.5*200/9*I182</f>
        <v>44.4444444444444</v>
      </c>
      <c r="DR182" s="115"/>
      <c r="DW182" s="145" t="n">
        <f aca="false">250/9*$I182</f>
        <v>111.111111111111</v>
      </c>
      <c r="DX182" s="115"/>
      <c r="DY182" s="145" t="n">
        <f aca="false">150*$I182/9</f>
        <v>66.6666666666667</v>
      </c>
      <c r="DZ182" s="115"/>
      <c r="EA182" s="115"/>
      <c r="EB182" s="115"/>
      <c r="EC182" s="115"/>
      <c r="ED182" s="115"/>
      <c r="EE182" s="115"/>
      <c r="EF182" s="4"/>
      <c r="EG182" s="4"/>
      <c r="EH182" s="4"/>
      <c r="EI182" s="145" t="n">
        <f aca="false">15/9*I182</f>
        <v>6.66666666666667</v>
      </c>
      <c r="EJ182" s="145" t="n">
        <f aca="false">8/9*I182</f>
        <v>3.55555555555556</v>
      </c>
      <c r="EK182" s="115"/>
      <c r="EL182" s="145" t="n">
        <f aca="false">3/9*$I182</f>
        <v>1.33333333333333</v>
      </c>
      <c r="EM182" s="115"/>
      <c r="EN182" s="145" t="n">
        <f aca="false">(335.96+35.28+11.74+7.83+5.87+3.4)/9*$I182</f>
        <v>177.813333333333</v>
      </c>
      <c r="EO182" s="115"/>
      <c r="EP182" s="145" t="n">
        <f aca="false">1*$I182/9</f>
        <v>0.444444444444444</v>
      </c>
      <c r="EQ182" s="115"/>
      <c r="ES182" s="115"/>
      <c r="ET182" s="115"/>
      <c r="EU182" s="145" t="n">
        <f aca="false">125*$I182/9</f>
        <v>55.5555555555556</v>
      </c>
      <c r="EV182" s="115"/>
      <c r="EW182" s="115"/>
      <c r="EX182" s="115"/>
      <c r="EY182" s="51"/>
      <c r="EZ182" s="4"/>
      <c r="FA182" s="4"/>
      <c r="FB182" s="4"/>
      <c r="FC182" s="4"/>
      <c r="FD182" s="4"/>
      <c r="FE182" s="181" t="n">
        <f aca="false">12.5/4*$I182</f>
        <v>12.5</v>
      </c>
      <c r="FJ182" s="145" t="n">
        <f aca="false">200/9*$I182</f>
        <v>88.8888888888889</v>
      </c>
      <c r="FK182" s="115"/>
      <c r="FL182" s="115"/>
      <c r="FM182" s="115"/>
      <c r="FN182" s="115"/>
      <c r="FO182" s="145" t="n">
        <f aca="false">150/9*$I182</f>
        <v>66.6666666666667</v>
      </c>
      <c r="FP182" s="51"/>
      <c r="FQ182" s="51"/>
      <c r="FR182" s="51"/>
      <c r="FS182" s="51"/>
      <c r="FT182" s="51"/>
      <c r="FU182" s="51"/>
      <c r="FV182" s="145" t="n">
        <f aca="false">(0.98*325+0.15*12.5+0*67)/9*$I182</f>
        <v>142.388888888889</v>
      </c>
      <c r="FW182" s="115"/>
      <c r="FX182" s="146" t="n">
        <f aca="false">85/9*$I182</f>
        <v>37.7777777777778</v>
      </c>
      <c r="FY182" s="145" t="n">
        <f aca="false">37.4*$I182/9</f>
        <v>16.6222222222222</v>
      </c>
      <c r="FZ182" s="51"/>
      <c r="GA182" s="51"/>
      <c r="GB182" s="147" t="n">
        <f aca="false">(0.95*25+0.95*25)/9*I182</f>
        <v>21.1111111111111</v>
      </c>
      <c r="GF182" s="186" t="n">
        <f aca="false">0.5/9*$I182</f>
        <v>0.222222222222222</v>
      </c>
      <c r="GG182" s="116"/>
      <c r="GH182" s="116"/>
      <c r="GI182" s="115"/>
      <c r="HA182" s="145" t="n">
        <f aca="false">0.5*200/9*$I182</f>
        <v>44.4444444444444</v>
      </c>
      <c r="HB182" s="145" t="n">
        <f aca="false">0.25*200/9*$I182</f>
        <v>22.2222222222222</v>
      </c>
      <c r="HC182" s="145" t="n">
        <f aca="false">0.25*200/9*$I182</f>
        <v>22.2222222222222</v>
      </c>
      <c r="HD182" s="51"/>
      <c r="HE182" s="145" t="n">
        <f aca="false">10/9*$I182</f>
        <v>4.44444444444444</v>
      </c>
      <c r="HF182" s="51"/>
      <c r="HG182" s="51"/>
      <c r="HH182" s="51"/>
      <c r="HI182" s="147" t="n">
        <f aca="false">0.85*100/9*$I182</f>
        <v>37.7777777777778</v>
      </c>
      <c r="HJ182" s="4"/>
      <c r="HK182" s="115"/>
      <c r="HL182" s="51"/>
      <c r="HM182" s="51"/>
      <c r="HO182" s="145" t="n">
        <f aca="false">200/9*$I182</f>
        <v>88.8888888888889</v>
      </c>
      <c r="HP182" s="115"/>
      <c r="HQ182" s="115"/>
      <c r="HR182" s="145" t="n">
        <f aca="false">0*$I182/9</f>
        <v>0</v>
      </c>
      <c r="HS182" s="115"/>
      <c r="HT182" s="115"/>
      <c r="HU182" s="145" t="n">
        <f aca="false">100/9*$I182</f>
        <v>44.4444444444444</v>
      </c>
      <c r="HV182" s="51"/>
      <c r="IB182" s="145" t="n">
        <f aca="false">0.1*5000/9*I182</f>
        <v>222.222222222222</v>
      </c>
      <c r="ID182" s="145" t="n">
        <f aca="false">125*$I182/9</f>
        <v>55.5555555555556</v>
      </c>
      <c r="IE182" s="145" t="n">
        <f aca="false">50*$I182/9</f>
        <v>22.2222222222222</v>
      </c>
      <c r="IF182" s="145" t="n">
        <f aca="false">0.4*862*$I182/9</f>
        <v>153.244444444444</v>
      </c>
      <c r="IG182" s="145" t="n">
        <f aca="false">(0.58+0.02)*862*$I182/9</f>
        <v>229.866666666667</v>
      </c>
      <c r="IH182" s="145" t="n">
        <f aca="false">5*$I182/9</f>
        <v>2.22222222222222</v>
      </c>
      <c r="II182" s="145" t="n">
        <f aca="false">600*$I182/9</f>
        <v>266.666666666667</v>
      </c>
      <c r="IJ182" s="145" t="n">
        <f aca="false">100*$I182/9</f>
        <v>44.4444444444444</v>
      </c>
      <c r="IK182" s="115"/>
      <c r="IL182" s="145" t="n">
        <f aca="false">5/9*$I182</f>
        <v>2.22222222222222</v>
      </c>
      <c r="IM182" s="145" t="n">
        <f aca="false">0.42*600/9*$I182</f>
        <v>112</v>
      </c>
      <c r="IN182" s="145" t="n">
        <f aca="false">0.42*600/9*$I182</f>
        <v>112</v>
      </c>
      <c r="IO182" s="51"/>
      <c r="IP182" s="145" t="n">
        <f aca="false">0.16*600/9*$I182</f>
        <v>42.6666666666667</v>
      </c>
      <c r="IQ182" s="145" t="n">
        <f aca="false">2000/9*$I182</f>
        <v>888.888888888889</v>
      </c>
      <c r="IR182" s="145" t="n">
        <f aca="false">250/9*I182</f>
        <v>111.111111111111</v>
      </c>
      <c r="IS182" s="145" t="n">
        <f aca="false">2000/9*$I182</f>
        <v>888.888888888889</v>
      </c>
      <c r="IT182" s="145" t="n">
        <f aca="false">400/9*$I182</f>
        <v>177.777777777778</v>
      </c>
      <c r="IU182" s="51"/>
      <c r="JK182" s="145" t="n">
        <f aca="false">465/9*$I182</f>
        <v>206.666666666667</v>
      </c>
      <c r="JL182" s="145" t="n">
        <f aca="false">(20+15)/9*$I182</f>
        <v>15.5555555555556</v>
      </c>
    </row>
    <row collapsed="false" customFormat="false" customHeight="true" hidden="false" ht="12.75" outlineLevel="0" r="183">
      <c r="A183" s="124" t="s">
        <v>477</v>
      </c>
      <c r="B183" s="124"/>
      <c r="C183" s="95" t="n">
        <v>1557</v>
      </c>
      <c r="D183" s="125" t="s">
        <v>478</v>
      </c>
      <c r="E183" s="125"/>
      <c r="F183" s="126" t="n">
        <v>0</v>
      </c>
      <c r="G183" s="126" t="n">
        <f aca="false">4*2</f>
        <v>8</v>
      </c>
      <c r="H183" s="126" t="n">
        <v>0</v>
      </c>
      <c r="I183" s="108" t="n">
        <f aca="false">SUM(F183:H183)/3</f>
        <v>2.66666666666667</v>
      </c>
      <c r="J183" s="137"/>
      <c r="K183" s="137"/>
      <c r="L183" s="127" t="n">
        <f aca="false">300/9*I183</f>
        <v>88.8888888888889</v>
      </c>
      <c r="M183" s="4"/>
      <c r="N183" s="4"/>
      <c r="O183" s="4"/>
      <c r="P183" s="127" t="n">
        <f aca="false">0/9*$I183</f>
        <v>0</v>
      </c>
      <c r="Q183" s="115"/>
      <c r="R183" s="34"/>
      <c r="S183" s="127" t="n">
        <f aca="false">0.36*30/9*I183</f>
        <v>3.2</v>
      </c>
      <c r="T183" s="127" t="n">
        <f aca="false">(7.35+1.25)/9*I183</f>
        <v>2.54814814814815</v>
      </c>
      <c r="AH183" s="127" t="n">
        <f aca="false">0.9*5000/9*I183</f>
        <v>1333.33333333333</v>
      </c>
      <c r="AI183" s="115"/>
      <c r="AJ183" s="4"/>
      <c r="AK183" s="4"/>
      <c r="AL183" s="127" t="n">
        <f aca="false">3000*$I183/9</f>
        <v>888.888888888889</v>
      </c>
      <c r="AM183" s="51"/>
      <c r="AN183" s="127" t="n">
        <f aca="false">3/9*I183</f>
        <v>0.888888888888889</v>
      </c>
      <c r="AO183" s="127" t="n">
        <f aca="false">525/9*I183</f>
        <v>155.555555555556</v>
      </c>
      <c r="AP183" s="36" t="n">
        <f aca="false">15/9*I183</f>
        <v>4.44444444444444</v>
      </c>
      <c r="AQ183" s="127" t="n">
        <f aca="false">218*$I183/9</f>
        <v>64.5925925925926</v>
      </c>
      <c r="AR183" s="115"/>
      <c r="AS183" s="4"/>
      <c r="AT183" s="4"/>
      <c r="AU183" s="4"/>
      <c r="AW183" s="115"/>
      <c r="AX183" s="4"/>
      <c r="AY183" s="36" t="n">
        <f aca="false">0*325/9*$I183</f>
        <v>0</v>
      </c>
      <c r="AZ183" s="4"/>
      <c r="BC183" s="127" t="n">
        <f aca="false">120/9*$I183</f>
        <v>35.5555555555556</v>
      </c>
      <c r="BD183" s="127" t="n">
        <f aca="false">500*$I183/9</f>
        <v>148.148148148148</v>
      </c>
      <c r="BE183" s="115"/>
      <c r="BF183" s="115"/>
      <c r="BG183" s="127" t="n">
        <f aca="false">67/9*I183</f>
        <v>19.8518518518519</v>
      </c>
      <c r="BH183" s="4"/>
      <c r="BI183" s="127" t="n">
        <f aca="false">1*$I183/9</f>
        <v>0.296296296296296</v>
      </c>
      <c r="BJ183" s="115"/>
      <c r="BN183" s="51"/>
      <c r="BP183" s="127" t="n">
        <f aca="false">600/9*$I183</f>
        <v>177.777777777778</v>
      </c>
      <c r="BY183" s="127" t="n">
        <f aca="false">0*$I183/9</f>
        <v>0</v>
      </c>
      <c r="BZ183" s="115"/>
      <c r="CA183" s="115"/>
      <c r="CF183" s="115"/>
      <c r="CG183" s="115"/>
      <c r="CH183" s="115"/>
      <c r="CI183" s="4"/>
      <c r="CJ183" s="127" t="n">
        <f aca="false">0.45*325/9*$I183</f>
        <v>43.3333333333333</v>
      </c>
      <c r="CK183" s="4"/>
      <c r="CL183" s="4"/>
      <c r="CM183" s="36" t="n">
        <f aca="false">0.5*200/9*$I183</f>
        <v>29.6296296296296</v>
      </c>
      <c r="CN183" s="36" t="n">
        <f aca="false">0*200/9*I183</f>
        <v>0</v>
      </c>
      <c r="CO183" s="36" t="n">
        <f aca="false">0*200/9*I183</f>
        <v>0</v>
      </c>
      <c r="CP183" s="4"/>
      <c r="CQ183" s="127" t="n">
        <f aca="false">400*$I183/9</f>
        <v>118.518518518519</v>
      </c>
      <c r="CR183" s="115"/>
      <c r="CS183" s="127" t="n">
        <f aca="false">200/9*$I183</f>
        <v>59.2592592592593</v>
      </c>
      <c r="CT183" s="127"/>
      <c r="CU183" s="115"/>
      <c r="CV183" s="115"/>
      <c r="CW183" s="127" t="n">
        <f aca="false">(0*25)/9*I183</f>
        <v>0</v>
      </c>
      <c r="CX183" s="35"/>
      <c r="CY183" s="4"/>
      <c r="DA183" s="127" t="n">
        <f aca="false">200/9*0.05*$I183</f>
        <v>2.96296296296296</v>
      </c>
      <c r="DC183" s="4"/>
      <c r="DE183" s="127" t="n">
        <f aca="false">(408/448*200)/9*$I183</f>
        <v>53.968253968254</v>
      </c>
      <c r="DF183" s="115"/>
      <c r="DQ183" s="127" t="n">
        <f aca="false">0.5*200/9*I183</f>
        <v>29.6296296296296</v>
      </c>
      <c r="DR183" s="115"/>
      <c r="DW183" s="127" t="n">
        <f aca="false">250/9*$I183</f>
        <v>74.0740740740741</v>
      </c>
      <c r="DX183" s="115"/>
      <c r="DY183" s="127" t="n">
        <f aca="false">150*$I183/9</f>
        <v>44.4444444444444</v>
      </c>
      <c r="DZ183" s="115"/>
      <c r="EA183" s="115"/>
      <c r="EB183" s="115"/>
      <c r="EC183" s="115"/>
      <c r="ED183" s="115"/>
      <c r="EE183" s="115"/>
      <c r="EF183" s="4"/>
      <c r="EG183" s="4"/>
      <c r="EH183" s="4"/>
      <c r="EI183" s="127" t="n">
        <f aca="false">15/9*I183</f>
        <v>4.44444444444444</v>
      </c>
      <c r="EJ183" s="127" t="n">
        <f aca="false">8/9*I183</f>
        <v>2.37037037037037</v>
      </c>
      <c r="EK183" s="115"/>
      <c r="EL183" s="127" t="n">
        <f aca="false">3/9*$I183</f>
        <v>0.888888888888889</v>
      </c>
      <c r="EM183" s="115"/>
      <c r="EN183" s="127" t="n">
        <f aca="false">(335.96+35.28+11.74+7.83+5.87+3.4)/9*$I183</f>
        <v>118.542222222222</v>
      </c>
      <c r="EO183" s="115"/>
      <c r="EP183" s="127" t="n">
        <f aca="false">1*$I183/9</f>
        <v>0.296296296296296</v>
      </c>
      <c r="EQ183" s="115"/>
      <c r="ES183" s="115"/>
      <c r="ET183" s="115"/>
      <c r="EU183" s="127" t="n">
        <f aca="false">125*$I183/9</f>
        <v>37.037037037037</v>
      </c>
      <c r="EV183" s="115"/>
      <c r="EW183" s="115"/>
      <c r="EX183" s="115"/>
      <c r="EY183" s="51"/>
      <c r="EZ183" s="4"/>
      <c r="FA183" s="4"/>
      <c r="FB183" s="4"/>
      <c r="FC183" s="4"/>
      <c r="FD183" s="4"/>
      <c r="FE183" s="127" t="n">
        <f aca="false">12.5/4*$I183</f>
        <v>8.33333333333333</v>
      </c>
      <c r="FJ183" s="127" t="n">
        <f aca="false">200/9*$I183</f>
        <v>59.2592592592593</v>
      </c>
      <c r="FK183" s="115"/>
      <c r="FL183" s="115"/>
      <c r="FM183" s="115"/>
      <c r="FN183" s="115"/>
      <c r="FO183" s="127" t="n">
        <f aca="false">150/9*$I183</f>
        <v>44.4444444444444</v>
      </c>
      <c r="FP183" s="51"/>
      <c r="FQ183" s="51"/>
      <c r="FR183" s="51"/>
      <c r="FS183" s="51"/>
      <c r="FT183" s="51"/>
      <c r="FU183" s="51"/>
      <c r="FV183" s="127" t="n">
        <f aca="false">(0.98*325+0.15*12.5+0*67)/9*$I183</f>
        <v>94.9259259259259</v>
      </c>
      <c r="FW183" s="115"/>
      <c r="FX183" s="127" t="n">
        <f aca="false">85/9*$I183</f>
        <v>25.1851851851852</v>
      </c>
      <c r="FY183" s="127" t="n">
        <f aca="false">37.4*$I183/9</f>
        <v>11.0814814814815</v>
      </c>
      <c r="FZ183" s="51"/>
      <c r="GA183" s="51"/>
      <c r="GB183" s="40" t="n">
        <f aca="false">(0.95*25+0.95*25)/9*I183</f>
        <v>14.0740740740741</v>
      </c>
      <c r="GF183" s="187" t="n">
        <f aca="false">0.5/9*$I183</f>
        <v>0.148148148148148</v>
      </c>
      <c r="GG183" s="116"/>
      <c r="GH183" s="116"/>
      <c r="GI183" s="115"/>
      <c r="HA183" s="127" t="n">
        <f aca="false">0.5*200/9*$I183</f>
        <v>29.6296296296296</v>
      </c>
      <c r="HB183" s="127" t="n">
        <f aca="false">0.25*200/9*$I183</f>
        <v>14.8148148148148</v>
      </c>
      <c r="HC183" s="127" t="n">
        <f aca="false">0.25*200/9*$I183</f>
        <v>14.8148148148148</v>
      </c>
      <c r="HD183" s="51"/>
      <c r="HE183" s="127" t="n">
        <f aca="false">10/9*$I183</f>
        <v>2.96296296296296</v>
      </c>
      <c r="HF183" s="51"/>
      <c r="HG183" s="51"/>
      <c r="HH183" s="51"/>
      <c r="HI183" s="40" t="n">
        <f aca="false">0.85*100/9*$I183</f>
        <v>25.1851851851852</v>
      </c>
      <c r="HJ183" s="4"/>
      <c r="HK183" s="115"/>
      <c r="HL183" s="51"/>
      <c r="HM183" s="51"/>
      <c r="HO183" s="127" t="n">
        <f aca="false">200/9*$I183</f>
        <v>59.2592592592593</v>
      </c>
      <c r="HP183" s="115"/>
      <c r="HQ183" s="115"/>
      <c r="HR183" s="127" t="n">
        <f aca="false">0*$I183/9</f>
        <v>0</v>
      </c>
      <c r="HS183" s="115"/>
      <c r="HT183" s="115"/>
      <c r="HU183" s="127" t="n">
        <f aca="false">100/9*$I183</f>
        <v>29.6296296296296</v>
      </c>
      <c r="HV183" s="51"/>
      <c r="IB183" s="127" t="n">
        <f aca="false">0.1*5000/9*I183</f>
        <v>148.148148148148</v>
      </c>
      <c r="ID183" s="127" t="n">
        <f aca="false">125/9*$I183</f>
        <v>37.037037037037</v>
      </c>
      <c r="IE183" s="127" t="n">
        <f aca="false">50*$I183/9</f>
        <v>14.8148148148148</v>
      </c>
      <c r="IF183" s="127" t="n">
        <f aca="false">0.4*862*$I183/9</f>
        <v>102.162962962963</v>
      </c>
      <c r="IG183" s="127" t="n">
        <f aca="false">(0.58+0.02)*862*$I183/9</f>
        <v>153.244444444444</v>
      </c>
      <c r="IH183" s="127" t="n">
        <f aca="false">5*$I183/9</f>
        <v>1.48148148148148</v>
      </c>
      <c r="II183" s="127" t="n">
        <f aca="false">600*$I183/9</f>
        <v>177.777777777778</v>
      </c>
      <c r="IJ183" s="127" t="n">
        <f aca="false">100*$I183/9</f>
        <v>29.6296296296296</v>
      </c>
      <c r="IK183" s="115"/>
      <c r="IL183" s="127" t="n">
        <f aca="false">5/9*$I183</f>
        <v>1.48148148148148</v>
      </c>
      <c r="IM183" s="127" t="n">
        <f aca="false">0.42*600/9*$I182</f>
        <v>112</v>
      </c>
      <c r="IN183" s="127" t="n">
        <f aca="false">0.42*600/9*$I182</f>
        <v>112</v>
      </c>
      <c r="IO183" s="51"/>
      <c r="IP183" s="127" t="n">
        <f aca="false">0.16*600/9*$I183</f>
        <v>28.4444444444444</v>
      </c>
      <c r="IQ183" s="127" t="n">
        <f aca="false">2000/9*$I183</f>
        <v>592.592592592593</v>
      </c>
      <c r="IR183" s="127" t="n">
        <f aca="false">250/9*I183</f>
        <v>74.0740740740741</v>
      </c>
      <c r="IS183" s="127" t="n">
        <f aca="false">2000/9*$I183</f>
        <v>592.592592592593</v>
      </c>
      <c r="IT183" s="127" t="n">
        <f aca="false">400/9*$I183</f>
        <v>118.518518518519</v>
      </c>
      <c r="IU183" s="51"/>
      <c r="JK183" s="127" t="n">
        <f aca="false">465/9*$I183</f>
        <v>137.777777777778</v>
      </c>
      <c r="JL183" s="127" t="n">
        <f aca="false">(20+15)/9*$I183</f>
        <v>10.3703703703704</v>
      </c>
    </row>
    <row collapsed="false" customFormat="true" customHeight="true" hidden="false" ht="12.75" outlineLevel="0" r="184" s="182">
      <c r="A184" s="110" t="s">
        <v>479</v>
      </c>
      <c r="B184" s="110"/>
      <c r="C184" s="111" t="n">
        <v>1314</v>
      </c>
      <c r="D184" s="112" t="s">
        <v>296</v>
      </c>
      <c r="E184" s="112"/>
      <c r="F184" s="113" t="n">
        <v>0</v>
      </c>
      <c r="G184" s="113" t="n">
        <v>2</v>
      </c>
      <c r="H184" s="113" t="n">
        <v>3</v>
      </c>
      <c r="I184" s="114" t="n">
        <f aca="false">SUM(F184:H184)</f>
        <v>5</v>
      </c>
      <c r="J184" s="104"/>
      <c r="K184" s="104"/>
      <c r="L184" s="115"/>
      <c r="M184" s="4"/>
      <c r="N184" s="4"/>
      <c r="O184" s="4"/>
      <c r="P184" s="115"/>
      <c r="Q184" s="115"/>
      <c r="R184" s="34"/>
      <c r="S184" s="115"/>
      <c r="T184" s="115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115"/>
      <c r="AI184" s="115"/>
      <c r="AJ184" s="4"/>
      <c r="AK184" s="4"/>
      <c r="AL184" s="115"/>
      <c r="AM184" s="115"/>
      <c r="AN184" s="115"/>
      <c r="AO184" s="115"/>
      <c r="AP184" s="4"/>
      <c r="AQ184" s="115"/>
      <c r="AR184" s="115"/>
      <c r="AS184" s="4"/>
      <c r="AT184" s="4"/>
      <c r="AU184" s="4"/>
      <c r="AV184" s="4"/>
      <c r="AW184" s="115"/>
      <c r="AX184" s="4"/>
      <c r="AY184" s="4"/>
      <c r="AZ184" s="4"/>
      <c r="BA184" s="4"/>
      <c r="BB184" s="4"/>
      <c r="BC184" s="115"/>
      <c r="BD184" s="115"/>
      <c r="BE184" s="115"/>
      <c r="BF184" s="115"/>
      <c r="BG184" s="115"/>
      <c r="BH184" s="4"/>
      <c r="BI184" s="115"/>
      <c r="BJ184" s="115"/>
      <c r="BK184" s="4"/>
      <c r="BL184" s="4"/>
      <c r="BM184" s="4"/>
      <c r="BN184" s="115"/>
      <c r="BO184" s="4"/>
      <c r="BP184" s="115"/>
      <c r="BQ184" s="4"/>
      <c r="BR184" s="4"/>
      <c r="BS184" s="4"/>
      <c r="BT184" s="4"/>
      <c r="BU184" s="4"/>
      <c r="BV184" s="4"/>
      <c r="BW184" s="4"/>
      <c r="BX184" s="4"/>
      <c r="BY184" s="115"/>
      <c r="BZ184" s="115"/>
      <c r="CA184" s="115"/>
      <c r="CB184" s="4"/>
      <c r="CC184" s="4"/>
      <c r="CD184" s="4"/>
      <c r="CE184" s="4"/>
      <c r="CF184" s="115"/>
      <c r="CG184" s="115"/>
      <c r="CH184" s="115"/>
      <c r="CI184" s="4"/>
      <c r="CJ184" s="115"/>
      <c r="CK184" s="4"/>
      <c r="CL184" s="4"/>
      <c r="CM184" s="4"/>
      <c r="CN184" s="4"/>
      <c r="CO184" s="4"/>
      <c r="CP184" s="4"/>
      <c r="CQ184" s="115"/>
      <c r="CR184" s="115"/>
      <c r="CS184" s="115"/>
      <c r="CT184" s="115"/>
      <c r="CU184" s="115"/>
      <c r="CV184" s="115"/>
      <c r="CW184" s="115"/>
      <c r="CX184" s="35"/>
      <c r="CY184" s="4"/>
      <c r="CZ184" s="4"/>
      <c r="DA184" s="115"/>
      <c r="DB184" s="4"/>
      <c r="DC184" s="4"/>
      <c r="DD184" s="4"/>
      <c r="DE184" s="115"/>
      <c r="DF184" s="115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115"/>
      <c r="DR184" s="115"/>
      <c r="DS184" s="4"/>
      <c r="DT184" s="4"/>
      <c r="DU184" s="4"/>
      <c r="DV184" s="4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4"/>
      <c r="EG184" s="4"/>
      <c r="EH184" s="4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4"/>
      <c r="ES184" s="115"/>
      <c r="ET184" s="115"/>
      <c r="EU184" s="115"/>
      <c r="EV184" s="115"/>
      <c r="EW184" s="115"/>
      <c r="EX184" s="115"/>
      <c r="EY184" s="115"/>
      <c r="EZ184" s="4"/>
      <c r="FA184" s="4"/>
      <c r="FB184" s="4"/>
      <c r="FC184" s="4"/>
      <c r="FD184" s="4"/>
      <c r="FE184" s="115"/>
      <c r="FF184" s="4"/>
      <c r="FG184" s="4"/>
      <c r="FH184" s="4"/>
      <c r="FI184" s="4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34"/>
      <c r="GC184" s="116"/>
      <c r="GD184" s="116"/>
      <c r="GE184" s="116"/>
      <c r="GF184" s="116"/>
      <c r="GG184" s="116"/>
      <c r="GH184" s="116"/>
      <c r="GI184" s="115"/>
      <c r="GJ184" s="1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115"/>
      <c r="HB184" s="115"/>
      <c r="HC184" s="115"/>
      <c r="HD184" s="115"/>
      <c r="HE184" s="115"/>
      <c r="HF184" s="115"/>
      <c r="HG184" s="115"/>
      <c r="HH184" s="115"/>
      <c r="HI184" s="34"/>
      <c r="HJ184" s="4"/>
      <c r="HK184" s="115"/>
      <c r="HL184" s="115"/>
      <c r="HM184" s="115"/>
      <c r="HN184" s="34"/>
      <c r="HO184" s="115"/>
      <c r="HP184" s="115"/>
      <c r="HQ184" s="115"/>
      <c r="HR184" s="115"/>
      <c r="HS184" s="115"/>
      <c r="HT184" s="115"/>
      <c r="HU184" s="115"/>
      <c r="HV184" s="115"/>
      <c r="HW184" s="4"/>
      <c r="HX184" s="4"/>
      <c r="HY184" s="4"/>
      <c r="HZ184" s="4"/>
      <c r="IA184" s="4"/>
      <c r="IB184" s="115"/>
      <c r="IC184" s="4"/>
      <c r="ID184" s="115"/>
      <c r="IE184" s="115"/>
      <c r="IF184" s="115"/>
      <c r="IG184" s="115"/>
      <c r="IH184" s="115"/>
      <c r="II184" s="115"/>
      <c r="IJ184" s="115"/>
      <c r="IK184" s="115"/>
      <c r="IL184" s="115"/>
      <c r="IM184" s="115"/>
      <c r="IN184" s="115"/>
      <c r="IO184" s="115"/>
      <c r="IP184" s="115"/>
      <c r="IQ184" s="115"/>
      <c r="IR184" s="115"/>
      <c r="IS184" s="115"/>
      <c r="IT184" s="115"/>
      <c r="IU184" s="115"/>
      <c r="IV184" s="4"/>
      <c r="IW184" s="4"/>
      <c r="IX184" s="4"/>
      <c r="IY184" s="4"/>
      <c r="IZ184" s="4"/>
      <c r="JA184" s="4"/>
      <c r="JB184" s="4"/>
      <c r="JC184" s="4"/>
      <c r="JD184" s="4"/>
      <c r="JK184" s="115"/>
      <c r="JL184" s="115"/>
      <c r="AMI184" s="0"/>
      <c r="AMJ184" s="0"/>
    </row>
    <row collapsed="false" customFormat="true" customHeight="true" hidden="false" ht="12.75" outlineLevel="0" r="185" s="45">
      <c r="A185" s="63" t="s">
        <v>480</v>
      </c>
      <c r="B185" s="63"/>
      <c r="C185" s="64" t="n">
        <v>1308</v>
      </c>
      <c r="D185" s="63" t="s">
        <v>277</v>
      </c>
      <c r="E185" s="63"/>
      <c r="F185" s="65" t="n">
        <f aca="false">2*2</f>
        <v>4</v>
      </c>
      <c r="G185" s="65" t="n">
        <v>2</v>
      </c>
      <c r="H185" s="65" t="n">
        <v>0</v>
      </c>
      <c r="I185" s="66" t="n">
        <f aca="false">SUM(F185:H185)/3</f>
        <v>2</v>
      </c>
      <c r="L185" s="46"/>
      <c r="M185" s="46"/>
      <c r="N185" s="46"/>
      <c r="O185" s="46"/>
      <c r="P185" s="47"/>
      <c r="Q185" s="47"/>
      <c r="R185" s="48"/>
      <c r="S185" s="49"/>
      <c r="T185" s="49"/>
      <c r="U185" s="49"/>
      <c r="V185" s="50"/>
      <c r="W185" s="49"/>
      <c r="X185" s="49"/>
      <c r="Y185" s="49"/>
      <c r="Z185" s="49"/>
      <c r="AA185" s="47"/>
      <c r="AB185" s="49"/>
      <c r="AC185" s="49"/>
      <c r="AD185" s="47"/>
      <c r="AE185" s="49"/>
      <c r="AF185" s="49"/>
      <c r="AG185" s="49"/>
      <c r="AH185" s="47"/>
      <c r="AI185" s="47"/>
      <c r="AJ185" s="49"/>
      <c r="AK185" s="49"/>
      <c r="AL185" s="49"/>
      <c r="AM185" s="49"/>
      <c r="AN185" s="49"/>
      <c r="AO185" s="49"/>
      <c r="AP185" s="49"/>
      <c r="AQ185" s="47"/>
      <c r="AR185" s="47"/>
      <c r="AS185" s="50"/>
      <c r="AT185" s="50"/>
      <c r="AU185" s="50"/>
      <c r="AV185" s="1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O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52"/>
      <c r="CA185" s="52"/>
      <c r="CB185" s="49"/>
      <c r="CC185" s="49"/>
      <c r="CD185" s="49"/>
      <c r="CE185" s="49"/>
      <c r="CF185" s="49"/>
      <c r="CG185" s="49"/>
      <c r="CH185" s="49"/>
      <c r="CI185" s="49"/>
      <c r="CJ185" s="47"/>
      <c r="CK185" s="47"/>
      <c r="CL185" s="47"/>
      <c r="CM185" s="47"/>
      <c r="CN185" s="47"/>
      <c r="CO185" s="47"/>
      <c r="CP185" s="47"/>
      <c r="CQ185" s="47"/>
      <c r="CR185" s="49"/>
      <c r="CS185" s="49"/>
      <c r="CT185" s="49"/>
      <c r="CU185" s="49"/>
      <c r="CW185" s="49"/>
      <c r="CX185" s="246" t="n">
        <f aca="false">0.35*500/2*I185</f>
        <v>175</v>
      </c>
      <c r="CY185" s="49"/>
      <c r="CZ185" s="49"/>
      <c r="DA185" s="49"/>
      <c r="DB185" s="49"/>
      <c r="DD185" s="49"/>
      <c r="DE185" s="49"/>
      <c r="DF185" s="49"/>
      <c r="DG185" s="49"/>
      <c r="DH185" s="49"/>
      <c r="DI185" s="49"/>
      <c r="DJ185" s="49"/>
      <c r="DK185" s="49"/>
      <c r="DL185" s="54"/>
      <c r="DM185" s="55"/>
      <c r="DN185" s="49"/>
      <c r="DO185" s="49"/>
      <c r="DR185" s="56"/>
      <c r="DT185" s="56"/>
      <c r="EA185" s="56"/>
      <c r="ER185" s="49"/>
      <c r="FD185" s="57"/>
      <c r="FE185" s="57"/>
      <c r="FV185" s="49"/>
      <c r="FW185" s="49"/>
      <c r="FX185" s="49"/>
      <c r="GB185" s="58"/>
      <c r="GC185" s="59"/>
      <c r="GD185" s="59"/>
      <c r="GE185" s="59"/>
      <c r="GF185" s="59"/>
      <c r="GG185" s="59"/>
      <c r="GH185" s="59"/>
      <c r="GJ185" s="51"/>
      <c r="GO185" s="60"/>
      <c r="GP185" s="60"/>
      <c r="GS185" s="60"/>
      <c r="HI185" s="61"/>
      <c r="HK185" s="56"/>
      <c r="HN185" s="61"/>
      <c r="HP185" s="247" t="n">
        <f aca="false">0.25*350/2*I185</f>
        <v>87.5</v>
      </c>
      <c r="IB185" s="56"/>
      <c r="IC185" s="47"/>
      <c r="ID185" s="56"/>
      <c r="IE185" s="56"/>
      <c r="IF185" s="56"/>
      <c r="IG185" s="5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  <c r="IR185" s="47"/>
      <c r="IS185" s="56"/>
      <c r="IT185" s="56"/>
      <c r="IU185" s="56"/>
      <c r="IV185" s="56"/>
      <c r="IW185" s="56"/>
      <c r="IX185" s="56"/>
      <c r="IY185" s="56"/>
      <c r="IZ185" s="56"/>
      <c r="JA185" s="56"/>
      <c r="JB185" s="56"/>
      <c r="AMI185" s="0"/>
      <c r="AMJ185" s="0"/>
    </row>
    <row collapsed="false" customFormat="true" customHeight="true" hidden="false" ht="12.75" outlineLevel="0" r="186" s="45">
      <c r="A186" s="75" t="s">
        <v>480</v>
      </c>
      <c r="B186" s="75"/>
      <c r="C186" s="76" t="n">
        <v>1308</v>
      </c>
      <c r="D186" s="75" t="s">
        <v>277</v>
      </c>
      <c r="E186" s="75"/>
      <c r="F186" s="77" t="n">
        <v>2</v>
      </c>
      <c r="G186" s="77" t="n">
        <v>2</v>
      </c>
      <c r="H186" s="77" t="n">
        <v>0</v>
      </c>
      <c r="I186" s="78" t="n">
        <f aca="false">SUM(F186:H186)/3</f>
        <v>1.33333333333333</v>
      </c>
      <c r="L186" s="46"/>
      <c r="M186" s="46"/>
      <c r="N186" s="46"/>
      <c r="O186" s="46"/>
      <c r="P186" s="47"/>
      <c r="Q186" s="47"/>
      <c r="R186" s="48"/>
      <c r="S186" s="49"/>
      <c r="T186" s="49"/>
      <c r="U186" s="49"/>
      <c r="V186" s="50"/>
      <c r="W186" s="49"/>
      <c r="X186" s="49"/>
      <c r="Y186" s="49"/>
      <c r="Z186" s="49"/>
      <c r="AA186" s="47"/>
      <c r="AB186" s="49"/>
      <c r="AC186" s="49"/>
      <c r="AD186" s="47"/>
      <c r="AE186" s="49"/>
      <c r="AF186" s="49"/>
      <c r="AG186" s="49"/>
      <c r="AH186" s="47"/>
      <c r="AI186" s="47"/>
      <c r="AJ186" s="49"/>
      <c r="AK186" s="49"/>
      <c r="AL186" s="49"/>
      <c r="AM186" s="49"/>
      <c r="AN186" s="49"/>
      <c r="AO186" s="49"/>
      <c r="AP186" s="49"/>
      <c r="AQ186" s="47"/>
      <c r="AR186" s="47"/>
      <c r="AS186" s="50"/>
      <c r="AT186" s="50"/>
      <c r="AU186" s="50"/>
      <c r="AV186" s="1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O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52"/>
      <c r="CA186" s="52"/>
      <c r="CB186" s="49"/>
      <c r="CC186" s="49"/>
      <c r="CD186" s="49"/>
      <c r="CE186" s="49"/>
      <c r="CF186" s="49"/>
      <c r="CG186" s="49"/>
      <c r="CH186" s="49"/>
      <c r="CI186" s="49"/>
      <c r="CJ186" s="47"/>
      <c r="CK186" s="47"/>
      <c r="CL186" s="47"/>
      <c r="CM186" s="47"/>
      <c r="CN186" s="47"/>
      <c r="CO186" s="47"/>
      <c r="CP186" s="47"/>
      <c r="CQ186" s="47"/>
      <c r="CR186" s="49"/>
      <c r="CS186" s="49"/>
      <c r="CT186" s="49"/>
      <c r="CU186" s="49"/>
      <c r="CW186" s="49"/>
      <c r="CX186" s="248" t="n">
        <f aca="false">0.35*500/2*I186</f>
        <v>116.666666666667</v>
      </c>
      <c r="CY186" s="49"/>
      <c r="CZ186" s="49"/>
      <c r="DA186" s="49"/>
      <c r="DB186" s="49"/>
      <c r="DD186" s="49"/>
      <c r="DE186" s="49"/>
      <c r="DF186" s="49"/>
      <c r="DG186" s="49"/>
      <c r="DH186" s="49"/>
      <c r="DI186" s="49"/>
      <c r="DJ186" s="49"/>
      <c r="DK186" s="49"/>
      <c r="DL186" s="54"/>
      <c r="DM186" s="55"/>
      <c r="DN186" s="49"/>
      <c r="DO186" s="49"/>
      <c r="DR186" s="56"/>
      <c r="DT186" s="56"/>
      <c r="EA186" s="56"/>
      <c r="ER186" s="49"/>
      <c r="FD186" s="57"/>
      <c r="FE186" s="57"/>
      <c r="FV186" s="49"/>
      <c r="FW186" s="49"/>
      <c r="FX186" s="49"/>
      <c r="GB186" s="58"/>
      <c r="GC186" s="59"/>
      <c r="GD186" s="59"/>
      <c r="GE186" s="59"/>
      <c r="GF186" s="59"/>
      <c r="GG186" s="59"/>
      <c r="GH186" s="59"/>
      <c r="GJ186" s="51"/>
      <c r="GO186" s="60"/>
      <c r="GP186" s="60"/>
      <c r="GS186" s="60"/>
      <c r="HI186" s="61"/>
      <c r="HK186" s="56"/>
      <c r="HN186" s="61"/>
      <c r="HP186" s="249" t="n">
        <f aca="false">0.25*350/2*I186</f>
        <v>58.3333333333333</v>
      </c>
      <c r="IB186" s="56"/>
      <c r="IC186" s="47"/>
      <c r="ID186" s="56"/>
      <c r="IE186" s="56"/>
      <c r="IF186" s="56"/>
      <c r="IG186" s="5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  <c r="IR186" s="47"/>
      <c r="IS186" s="56"/>
      <c r="IT186" s="56"/>
      <c r="IU186" s="56"/>
      <c r="IV186" s="56"/>
      <c r="IW186" s="56"/>
      <c r="IX186" s="56"/>
      <c r="IY186" s="56"/>
      <c r="IZ186" s="56"/>
      <c r="JA186" s="56"/>
      <c r="JB186" s="56"/>
      <c r="AMI186" s="0"/>
      <c r="AMJ186" s="0"/>
    </row>
    <row collapsed="false" customFormat="true" customHeight="true" hidden="false" ht="12.75" outlineLevel="0" r="187" s="178">
      <c r="A187" s="167" t="s">
        <v>481</v>
      </c>
      <c r="B187" s="167"/>
      <c r="C187" s="168" t="n">
        <v>1014</v>
      </c>
      <c r="D187" s="169" t="s">
        <v>482</v>
      </c>
      <c r="E187" s="169"/>
      <c r="F187" s="170"/>
      <c r="G187" s="170"/>
      <c r="H187" s="170"/>
      <c r="I187" s="171" t="n">
        <f aca="false">(1.2*0)*2/3</f>
        <v>0</v>
      </c>
      <c r="J187" s="185"/>
      <c r="K187" s="185"/>
      <c r="L187" s="173"/>
      <c r="M187" s="173"/>
      <c r="N187" s="173"/>
      <c r="O187" s="173"/>
      <c r="P187" s="173"/>
      <c r="Q187" s="173"/>
      <c r="R187" s="174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BG187" s="173"/>
      <c r="BH187" s="173"/>
      <c r="BI187" s="173"/>
      <c r="BJ187" s="173"/>
      <c r="BK187" s="173"/>
      <c r="BL187" s="173"/>
      <c r="BM187" s="173"/>
      <c r="BN187" s="173"/>
      <c r="BO187" s="173"/>
      <c r="BP187" s="173"/>
      <c r="BQ187" s="173"/>
      <c r="BR187" s="173"/>
      <c r="BS187" s="173"/>
      <c r="BT187" s="173"/>
      <c r="BU187" s="173"/>
      <c r="BV187" s="173"/>
      <c r="BW187" s="173"/>
      <c r="BX187" s="173"/>
      <c r="BY187" s="173"/>
      <c r="BZ187" s="173"/>
      <c r="CA187" s="173"/>
      <c r="CB187" s="173"/>
      <c r="CC187" s="173"/>
      <c r="CD187" s="173"/>
      <c r="CE187" s="173"/>
      <c r="CF187" s="173"/>
      <c r="CG187" s="173"/>
      <c r="CH187" s="173"/>
      <c r="CI187" s="173"/>
      <c r="CJ187" s="173"/>
      <c r="CK187" s="173"/>
      <c r="CL187" s="173"/>
      <c r="CM187" s="173"/>
      <c r="CN187" s="173"/>
      <c r="CO187" s="173"/>
      <c r="CP187" s="173"/>
      <c r="CQ187" s="173"/>
      <c r="CR187" s="173"/>
      <c r="CS187" s="173"/>
      <c r="CT187" s="173"/>
      <c r="CU187" s="173"/>
      <c r="CV187" s="173"/>
      <c r="CW187" s="173"/>
      <c r="CX187" s="175"/>
      <c r="CY187" s="173"/>
      <c r="CZ187" s="173"/>
      <c r="DA187" s="173"/>
      <c r="DB187" s="173"/>
      <c r="DC187" s="173"/>
      <c r="DD187" s="173"/>
      <c r="DE187" s="173"/>
      <c r="DF187" s="173"/>
      <c r="DG187" s="173"/>
      <c r="DH187" s="173"/>
      <c r="DI187" s="173"/>
      <c r="DJ187" s="173"/>
      <c r="DK187" s="173"/>
      <c r="DL187" s="173"/>
      <c r="DM187" s="173"/>
      <c r="DN187" s="173"/>
      <c r="DO187" s="173"/>
      <c r="DP187" s="173"/>
      <c r="DQ187" s="173"/>
      <c r="DR187" s="173"/>
      <c r="DS187" s="173"/>
      <c r="DT187" s="173"/>
      <c r="DU187" s="173"/>
      <c r="DV187" s="173"/>
      <c r="DW187" s="173"/>
      <c r="DX187" s="173"/>
      <c r="DY187" s="173"/>
      <c r="DZ187" s="173"/>
      <c r="EA187" s="173"/>
      <c r="EB187" s="173"/>
      <c r="EC187" s="173"/>
      <c r="ED187" s="173"/>
      <c r="EE187" s="173"/>
      <c r="EF187" s="173"/>
      <c r="EG187" s="173"/>
      <c r="EH187" s="173"/>
      <c r="EI187" s="173" t="n">
        <f aca="false">14/5*$I187</f>
        <v>0</v>
      </c>
      <c r="EJ187" s="173"/>
      <c r="EK187" s="173"/>
      <c r="EL187" s="177" t="n">
        <f aca="false">4.3/5*$I187</f>
        <v>0</v>
      </c>
      <c r="EM187" s="173"/>
      <c r="EN187" s="173"/>
      <c r="EO187" s="173"/>
      <c r="EP187" s="173"/>
      <c r="EQ187" s="173"/>
      <c r="ER187" s="173"/>
      <c r="ES187" s="173"/>
      <c r="ET187" s="173"/>
      <c r="EU187" s="173"/>
      <c r="EV187" s="173"/>
      <c r="EW187" s="173"/>
      <c r="EX187" s="173"/>
      <c r="EY187" s="173"/>
      <c r="EZ187" s="173"/>
      <c r="FA187" s="173"/>
      <c r="FB187" s="173"/>
      <c r="FC187" s="173"/>
      <c r="FD187" s="173"/>
      <c r="FE187" s="173"/>
      <c r="FF187" s="173"/>
      <c r="FG187" s="173"/>
      <c r="FH187" s="173"/>
      <c r="FI187" s="173"/>
      <c r="FJ187" s="173"/>
      <c r="FK187" s="173"/>
      <c r="FL187" s="173"/>
      <c r="FM187" s="173"/>
      <c r="FN187" s="173"/>
      <c r="FO187" s="173"/>
      <c r="FP187" s="173"/>
      <c r="FQ187" s="173"/>
      <c r="FR187" s="173"/>
      <c r="FS187" s="173"/>
      <c r="FT187" s="173"/>
      <c r="FU187" s="173"/>
      <c r="FV187" s="173"/>
      <c r="FW187" s="173"/>
      <c r="FX187" s="173"/>
      <c r="FY187" s="173"/>
      <c r="FZ187" s="173"/>
      <c r="GA187" s="173"/>
      <c r="GB187" s="174"/>
      <c r="GC187" s="176"/>
      <c r="GD187" s="176"/>
      <c r="GE187" s="176"/>
      <c r="GF187" s="176"/>
      <c r="GG187" s="176"/>
      <c r="GH187" s="176"/>
      <c r="GI187" s="173"/>
      <c r="GJ187" s="177"/>
      <c r="GK187" s="173"/>
      <c r="GL187" s="173"/>
      <c r="GM187" s="173"/>
      <c r="GN187" s="173"/>
      <c r="GO187" s="173"/>
      <c r="GP187" s="173"/>
      <c r="GQ187" s="173"/>
      <c r="GR187" s="173"/>
      <c r="GS187" s="173"/>
      <c r="GT187" s="173"/>
      <c r="GU187" s="173"/>
      <c r="GV187" s="173"/>
      <c r="GW187" s="173"/>
      <c r="GX187" s="173"/>
      <c r="GY187" s="173"/>
      <c r="GZ187" s="173"/>
      <c r="HA187" s="173"/>
      <c r="HB187" s="173"/>
      <c r="HC187" s="173"/>
      <c r="HD187" s="173"/>
      <c r="HE187" s="173"/>
      <c r="HF187" s="173"/>
      <c r="HG187" s="173"/>
      <c r="HH187" s="173"/>
      <c r="HI187" s="174"/>
      <c r="HJ187" s="173"/>
      <c r="HK187" s="173"/>
      <c r="HL187" s="173"/>
      <c r="HM187" s="173"/>
      <c r="HN187" s="174"/>
      <c r="HO187" s="173"/>
      <c r="HP187" s="173"/>
      <c r="HQ187" s="173"/>
      <c r="HR187" s="173"/>
      <c r="HS187" s="173"/>
      <c r="HT187" s="173"/>
      <c r="HU187" s="173"/>
      <c r="HV187" s="173"/>
      <c r="HW187" s="173"/>
      <c r="HX187" s="173"/>
      <c r="HY187" s="173"/>
      <c r="HZ187" s="173"/>
      <c r="IA187" s="173"/>
      <c r="IB187" s="173"/>
      <c r="IC187" s="173"/>
      <c r="ID187" s="173"/>
      <c r="IE187" s="173"/>
      <c r="IF187" s="173"/>
      <c r="IG187" s="173"/>
      <c r="IH187" s="173"/>
      <c r="II187" s="173"/>
      <c r="IJ187" s="173"/>
      <c r="IK187" s="173"/>
      <c r="IL187" s="173"/>
      <c r="IM187" s="173"/>
      <c r="IN187" s="173"/>
      <c r="IO187" s="173"/>
      <c r="IP187" s="173"/>
      <c r="IQ187" s="173"/>
      <c r="IR187" s="173"/>
      <c r="IS187" s="173"/>
      <c r="IT187" s="173"/>
      <c r="IU187" s="173"/>
      <c r="IV187" s="173"/>
      <c r="IW187" s="173"/>
      <c r="IX187" s="173"/>
      <c r="IY187" s="173"/>
      <c r="IZ187" s="173"/>
      <c r="JA187" s="173"/>
      <c r="JB187" s="173"/>
      <c r="JC187" s="173"/>
      <c r="JD187" s="173"/>
    </row>
    <row collapsed="false" customFormat="true" customHeight="true" hidden="false" ht="12.75" outlineLevel="0" r="188" s="178">
      <c r="A188" s="167" t="s">
        <v>481</v>
      </c>
      <c r="B188" s="167"/>
      <c r="C188" s="168" t="n">
        <v>1014</v>
      </c>
      <c r="D188" s="169" t="s">
        <v>482</v>
      </c>
      <c r="E188" s="169"/>
      <c r="F188" s="170"/>
      <c r="G188" s="170"/>
      <c r="H188" s="170"/>
      <c r="I188" s="171" t="n">
        <f aca="false">(0.8*0)*2/3</f>
        <v>0</v>
      </c>
      <c r="J188" s="185"/>
      <c r="K188" s="185"/>
      <c r="L188" s="173"/>
      <c r="M188" s="173"/>
      <c r="N188" s="173"/>
      <c r="O188" s="173"/>
      <c r="P188" s="173"/>
      <c r="Q188" s="173"/>
      <c r="R188" s="174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/>
      <c r="BI188" s="173"/>
      <c r="BJ188" s="173"/>
      <c r="BK188" s="173"/>
      <c r="BL188" s="173"/>
      <c r="BM188" s="173"/>
      <c r="BN188" s="173"/>
      <c r="BO188" s="173"/>
      <c r="BP188" s="173"/>
      <c r="BQ188" s="173"/>
      <c r="BR188" s="173"/>
      <c r="BS188" s="173"/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  <c r="CR188" s="173"/>
      <c r="CS188" s="173"/>
      <c r="CT188" s="173"/>
      <c r="CU188" s="173"/>
      <c r="CV188" s="173"/>
      <c r="CW188" s="173"/>
      <c r="CX188" s="175"/>
      <c r="CY188" s="173"/>
      <c r="CZ188" s="173"/>
      <c r="DA188" s="173"/>
      <c r="DB188" s="173"/>
      <c r="DC188" s="173"/>
      <c r="DD188" s="173"/>
      <c r="DE188" s="173"/>
      <c r="DF188" s="173"/>
      <c r="DG188" s="173"/>
      <c r="DH188" s="173"/>
      <c r="DI188" s="173"/>
      <c r="DJ188" s="173"/>
      <c r="DK188" s="173"/>
      <c r="DL188" s="173"/>
      <c r="DM188" s="173"/>
      <c r="DN188" s="173"/>
      <c r="DO188" s="173"/>
      <c r="DP188" s="173"/>
      <c r="DQ188" s="173"/>
      <c r="DR188" s="173"/>
      <c r="DS188" s="173"/>
      <c r="DT188" s="173"/>
      <c r="DU188" s="173"/>
      <c r="DV188" s="173"/>
      <c r="DW188" s="173"/>
      <c r="DX188" s="173"/>
      <c r="DY188" s="173"/>
      <c r="DZ188" s="173"/>
      <c r="EA188" s="173"/>
      <c r="EB188" s="173"/>
      <c r="EC188" s="173"/>
      <c r="ED188" s="173"/>
      <c r="EE188" s="173"/>
      <c r="EF188" s="173"/>
      <c r="EG188" s="173"/>
      <c r="EH188" s="173"/>
      <c r="EI188" s="177" t="n">
        <f aca="false">14/5*$I188</f>
        <v>0</v>
      </c>
      <c r="EJ188" s="173"/>
      <c r="EK188" s="173"/>
      <c r="EL188" s="177" t="n">
        <f aca="false">4.3/5*$I188</f>
        <v>0</v>
      </c>
      <c r="EM188" s="173"/>
      <c r="EN188" s="173"/>
      <c r="EO188" s="173"/>
      <c r="EP188" s="173"/>
      <c r="EQ188" s="173"/>
      <c r="ER188" s="173"/>
      <c r="ES188" s="173"/>
      <c r="ET188" s="173"/>
      <c r="EU188" s="173"/>
      <c r="EV188" s="173"/>
      <c r="EW188" s="173"/>
      <c r="EX188" s="173"/>
      <c r="EY188" s="173"/>
      <c r="EZ188" s="173"/>
      <c r="FA188" s="173"/>
      <c r="FB188" s="173"/>
      <c r="FC188" s="173"/>
      <c r="FD188" s="173"/>
      <c r="FE188" s="173"/>
      <c r="FF188" s="173"/>
      <c r="FG188" s="173"/>
      <c r="FH188" s="173"/>
      <c r="FI188" s="173"/>
      <c r="FJ188" s="173"/>
      <c r="FK188" s="173"/>
      <c r="FL188" s="173"/>
      <c r="FM188" s="173"/>
      <c r="FN188" s="173"/>
      <c r="FO188" s="173"/>
      <c r="FP188" s="173"/>
      <c r="FQ188" s="173"/>
      <c r="FR188" s="173"/>
      <c r="FS188" s="173"/>
      <c r="FT188" s="173"/>
      <c r="FU188" s="173"/>
      <c r="FV188" s="173"/>
      <c r="FW188" s="173"/>
      <c r="FX188" s="173"/>
      <c r="FY188" s="173"/>
      <c r="FZ188" s="173"/>
      <c r="GA188" s="173"/>
      <c r="GB188" s="174"/>
      <c r="GC188" s="176"/>
      <c r="GD188" s="176"/>
      <c r="GE188" s="176"/>
      <c r="GF188" s="176"/>
      <c r="GG188" s="176"/>
      <c r="GH188" s="176"/>
      <c r="GI188" s="173"/>
      <c r="GJ188" s="250"/>
      <c r="GK188" s="173"/>
      <c r="GL188" s="173"/>
      <c r="GM188" s="173"/>
      <c r="GN188" s="173"/>
      <c r="GO188" s="173"/>
      <c r="GP188" s="173"/>
      <c r="GQ188" s="173"/>
      <c r="GR188" s="173"/>
      <c r="GS188" s="173"/>
      <c r="GT188" s="173"/>
      <c r="GU188" s="173"/>
      <c r="GV188" s="173"/>
      <c r="GW188" s="173"/>
      <c r="GX188" s="173"/>
      <c r="GY188" s="173"/>
      <c r="GZ188" s="173"/>
      <c r="HA188" s="173"/>
      <c r="HB188" s="173"/>
      <c r="HC188" s="173"/>
      <c r="HD188" s="173"/>
      <c r="HE188" s="173"/>
      <c r="HF188" s="173"/>
      <c r="HG188" s="173"/>
      <c r="HH188" s="173"/>
      <c r="HI188" s="174"/>
      <c r="HJ188" s="173"/>
      <c r="HK188" s="173"/>
      <c r="HL188" s="173"/>
      <c r="HM188" s="173"/>
      <c r="HN188" s="174"/>
      <c r="HO188" s="173"/>
      <c r="HP188" s="173"/>
      <c r="HQ188" s="173"/>
      <c r="HR188" s="173"/>
      <c r="HS188" s="173"/>
      <c r="HT188" s="173"/>
      <c r="HU188" s="173"/>
      <c r="HV188" s="173"/>
      <c r="HW188" s="173"/>
      <c r="HX188" s="173"/>
      <c r="HY188" s="173"/>
      <c r="HZ188" s="173"/>
      <c r="IA188" s="173"/>
      <c r="IB188" s="173"/>
      <c r="IC188" s="173"/>
      <c r="ID188" s="173"/>
      <c r="IE188" s="173"/>
      <c r="IF188" s="173"/>
      <c r="IG188" s="173"/>
      <c r="IH188" s="173"/>
      <c r="II188" s="173"/>
      <c r="IJ188" s="173"/>
      <c r="IK188" s="173"/>
      <c r="IL188" s="173"/>
      <c r="IM188" s="173"/>
      <c r="IN188" s="173"/>
      <c r="IO188" s="173"/>
      <c r="IP188" s="173"/>
      <c r="IQ188" s="173"/>
      <c r="IR188" s="173"/>
      <c r="IS188" s="173"/>
      <c r="IT188" s="173"/>
      <c r="IU188" s="173"/>
      <c r="IV188" s="173"/>
      <c r="IW188" s="173"/>
      <c r="IX188" s="173"/>
      <c r="IY188" s="173"/>
      <c r="IZ188" s="173"/>
      <c r="JA188" s="173"/>
      <c r="JB188" s="173"/>
      <c r="JC188" s="173"/>
      <c r="JD188" s="173"/>
    </row>
    <row collapsed="false" customFormat="true" customHeight="true" hidden="false" ht="12.75" outlineLevel="0" r="189" s="4">
      <c r="A189" s="110" t="s">
        <v>483</v>
      </c>
      <c r="B189" s="110"/>
      <c r="C189" s="111" t="n">
        <v>502</v>
      </c>
      <c r="D189" s="112" t="s">
        <v>484</v>
      </c>
      <c r="E189" s="112"/>
      <c r="F189" s="113" t="n">
        <v>2</v>
      </c>
      <c r="G189" s="113" t="n">
        <v>2</v>
      </c>
      <c r="H189" s="113" t="n">
        <v>0</v>
      </c>
      <c r="I189" s="114" t="n">
        <f aca="false">SUM(F189:H189)/3</f>
        <v>1.33333333333333</v>
      </c>
      <c r="J189" s="104"/>
      <c r="K189" s="104"/>
      <c r="R189" s="34"/>
      <c r="CX189" s="35"/>
      <c r="EN189" s="115" t="n">
        <f aca="false">160*I189</f>
        <v>213.333333333333</v>
      </c>
      <c r="EO189" s="115"/>
      <c r="GB189" s="34"/>
      <c r="GC189" s="116"/>
      <c r="GD189" s="116"/>
      <c r="GE189" s="116"/>
      <c r="GF189" s="116"/>
      <c r="GG189" s="116"/>
      <c r="GH189" s="116"/>
      <c r="GJ189" s="45"/>
      <c r="HI189" s="34"/>
      <c r="HN189" s="34"/>
      <c r="AMI189" s="0"/>
      <c r="AMJ189" s="0"/>
    </row>
    <row collapsed="false" customFormat="false" customHeight="true" hidden="false" ht="12.75" outlineLevel="0" r="190">
      <c r="A190" s="141" t="s">
        <v>485</v>
      </c>
      <c r="B190" s="141"/>
      <c r="C190" s="179" t="n">
        <v>57</v>
      </c>
      <c r="D190" s="143" t="s">
        <v>486</v>
      </c>
      <c r="E190" s="143"/>
      <c r="F190" s="144" t="n">
        <v>0</v>
      </c>
      <c r="G190" s="144" t="n">
        <f aca="false">2*1.2*250</f>
        <v>600</v>
      </c>
      <c r="H190" s="144" t="n">
        <v>0</v>
      </c>
      <c r="I190" s="180" t="n">
        <f aca="false">SUM(F190:H190)/3</f>
        <v>200</v>
      </c>
      <c r="J190" s="137"/>
      <c r="K190" s="137"/>
      <c r="L190" s="4"/>
      <c r="M190" s="4"/>
      <c r="N190" s="4"/>
      <c r="O190" s="4"/>
      <c r="P190" s="4"/>
      <c r="Q190" s="4"/>
      <c r="R190" s="34"/>
      <c r="S190" s="4"/>
      <c r="T190" s="4"/>
      <c r="AN190" s="4"/>
      <c r="AO190" s="4"/>
      <c r="AP190" s="4"/>
      <c r="AS190" s="4"/>
      <c r="AT190" s="4"/>
      <c r="AU190" s="4"/>
      <c r="AW190" s="4"/>
      <c r="AX190" s="4"/>
      <c r="AY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W190" s="4"/>
      <c r="CX190" s="35"/>
      <c r="CY190" s="4"/>
      <c r="DE190" s="4"/>
      <c r="DF190" s="4"/>
      <c r="EI190" s="4"/>
      <c r="EJ190" s="4"/>
      <c r="EK190" s="4"/>
      <c r="EL190" s="4"/>
      <c r="EM190" s="4"/>
      <c r="EN190" s="181" t="n">
        <f aca="false">I190*0.61</f>
        <v>122</v>
      </c>
      <c r="EO190" s="4"/>
      <c r="FV190" s="4"/>
      <c r="FW190" s="4"/>
      <c r="FX190" s="4"/>
    </row>
    <row collapsed="false" customFormat="false" customHeight="true" hidden="false" ht="12.75" outlineLevel="0" r="191">
      <c r="A191" s="124" t="s">
        <v>485</v>
      </c>
      <c r="B191" s="124"/>
      <c r="C191" s="95" t="n">
        <v>57</v>
      </c>
      <c r="D191" s="125" t="s">
        <v>486</v>
      </c>
      <c r="E191" s="125"/>
      <c r="F191" s="126" t="n">
        <v>0</v>
      </c>
      <c r="G191" s="126" t="n">
        <f aca="false">2*0.8*250</f>
        <v>400</v>
      </c>
      <c r="H191" s="126" t="n">
        <v>0</v>
      </c>
      <c r="I191" s="108" t="n">
        <f aca="false">SUM(F191:H191)/3</f>
        <v>133.333333333333</v>
      </c>
      <c r="J191" s="137"/>
      <c r="K191" s="137"/>
      <c r="L191" s="4"/>
      <c r="M191" s="4"/>
      <c r="N191" s="4"/>
      <c r="O191" s="4"/>
      <c r="P191" s="4"/>
      <c r="Q191" s="4"/>
      <c r="R191" s="34"/>
      <c r="S191" s="4"/>
      <c r="T191" s="4"/>
      <c r="AN191" s="4"/>
      <c r="AO191" s="4"/>
      <c r="AP191" s="4"/>
      <c r="AS191" s="4"/>
      <c r="AT191" s="4"/>
      <c r="AU191" s="4"/>
      <c r="AW191" s="4"/>
      <c r="AX191" s="4"/>
      <c r="AY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W191" s="4"/>
      <c r="CX191" s="35"/>
      <c r="CY191" s="4"/>
      <c r="DE191" s="4"/>
      <c r="DF191" s="4"/>
      <c r="EN191" s="127" t="n">
        <f aca="false">I191*0.61</f>
        <v>81.3333333333333</v>
      </c>
      <c r="EO191" s="115"/>
      <c r="FV191" s="4"/>
      <c r="FW191" s="4"/>
      <c r="FX191" s="4"/>
    </row>
    <row collapsed="false" customFormat="true" customHeight="true" hidden="false" ht="12.75" outlineLevel="0" r="192" s="4">
      <c r="A192" s="149" t="s">
        <v>487</v>
      </c>
      <c r="B192" s="149"/>
      <c r="C192" s="239" t="n">
        <v>704</v>
      </c>
      <c r="D192" s="151" t="s">
        <v>488</v>
      </c>
      <c r="E192" s="151"/>
      <c r="F192" s="152"/>
      <c r="G192" s="152"/>
      <c r="H192" s="152"/>
      <c r="I192" s="114" t="n">
        <f aca="false">1*2/3</f>
        <v>0.666666666666667</v>
      </c>
      <c r="J192" s="104"/>
      <c r="K192" s="104"/>
      <c r="R192" s="34"/>
      <c r="CX192" s="35"/>
      <c r="DO192" s="115" t="n">
        <f aca="false">250*I192</f>
        <v>166.666666666667</v>
      </c>
      <c r="GB192" s="34"/>
      <c r="GC192" s="116"/>
      <c r="GD192" s="116"/>
      <c r="GE192" s="116"/>
      <c r="GF192" s="116"/>
      <c r="GG192" s="116"/>
      <c r="GH192" s="116"/>
      <c r="GJ192" s="1"/>
      <c r="HI192" s="34"/>
      <c r="HN192" s="34"/>
      <c r="AMI192" s="0"/>
      <c r="AMJ192" s="0"/>
    </row>
    <row collapsed="false" customFormat="true" customHeight="true" hidden="false" ht="12.75" outlineLevel="0" r="193" s="4">
      <c r="A193" s="133" t="s">
        <v>489</v>
      </c>
      <c r="B193" s="133"/>
      <c r="C193" s="134" t="n">
        <v>15036</v>
      </c>
      <c r="D193" s="135" t="s">
        <v>490</v>
      </c>
      <c r="E193" s="135"/>
      <c r="F193" s="136" t="n">
        <v>0</v>
      </c>
      <c r="G193" s="136" t="n">
        <f aca="false">2*0.6*2*30</f>
        <v>72</v>
      </c>
      <c r="H193" s="136" t="n">
        <v>0</v>
      </c>
      <c r="I193" s="102" t="n">
        <f aca="false">SUM(F193:H193)/3</f>
        <v>24</v>
      </c>
      <c r="J193" s="104"/>
      <c r="K193" s="104"/>
      <c r="R193" s="34"/>
      <c r="CX193" s="35"/>
      <c r="GB193" s="34"/>
      <c r="GC193" s="116"/>
      <c r="GD193" s="116"/>
      <c r="GE193" s="116"/>
      <c r="GF193" s="116"/>
      <c r="GG193" s="116"/>
      <c r="GH193" s="116"/>
      <c r="GJ193" s="1"/>
      <c r="HI193" s="34"/>
      <c r="HN193" s="34"/>
      <c r="AMI193" s="0"/>
      <c r="AMJ193" s="0"/>
    </row>
    <row collapsed="false" customFormat="true" customHeight="true" hidden="false" ht="12.75" outlineLevel="0" r="194" s="4">
      <c r="A194" s="124" t="s">
        <v>489</v>
      </c>
      <c r="B194" s="124"/>
      <c r="C194" s="95" t="n">
        <v>15036</v>
      </c>
      <c r="D194" s="125" t="s">
        <v>490</v>
      </c>
      <c r="E194" s="125"/>
      <c r="F194" s="126" t="n">
        <v>0</v>
      </c>
      <c r="G194" s="126" t="n">
        <f aca="false">2*0.4*2*30</f>
        <v>48</v>
      </c>
      <c r="H194" s="126" t="n">
        <v>0</v>
      </c>
      <c r="I194" s="108" t="n">
        <f aca="false">SUM(F194:H194)/3</f>
        <v>16</v>
      </c>
      <c r="J194" s="104"/>
      <c r="K194" s="104"/>
      <c r="R194" s="34"/>
      <c r="CX194" s="35"/>
      <c r="GB194" s="34"/>
      <c r="GC194" s="116"/>
      <c r="GD194" s="116"/>
      <c r="GE194" s="116"/>
      <c r="GF194" s="116"/>
      <c r="GG194" s="116"/>
      <c r="GH194" s="116"/>
      <c r="GJ194" s="1"/>
      <c r="HI194" s="34"/>
      <c r="HN194" s="34"/>
      <c r="AMI194" s="0"/>
      <c r="AMJ194" s="0"/>
    </row>
    <row collapsed="false" customFormat="true" customHeight="true" hidden="false" ht="12.75" outlineLevel="0" r="195" s="4">
      <c r="A195" s="128" t="s">
        <v>491</v>
      </c>
      <c r="B195" s="128"/>
      <c r="C195" s="91" t="n">
        <v>455</v>
      </c>
      <c r="D195" s="128" t="s">
        <v>492</v>
      </c>
      <c r="E195" s="128"/>
      <c r="F195" s="251" t="n">
        <v>0</v>
      </c>
      <c r="G195" s="251" t="n">
        <v>2</v>
      </c>
      <c r="H195" s="251" t="n">
        <v>0</v>
      </c>
      <c r="I195" s="131" t="n">
        <f aca="false">SUM(F195:H195)/3</f>
        <v>0.666666666666667</v>
      </c>
      <c r="J195" s="104"/>
      <c r="K195" s="104"/>
      <c r="R195" s="34"/>
      <c r="CX195" s="35"/>
      <c r="EL195" s="29" t="n">
        <f aca="false">15*$I195</f>
        <v>10</v>
      </c>
      <c r="GB195" s="34"/>
      <c r="GC195" s="116"/>
      <c r="GD195" s="116"/>
      <c r="GE195" s="116"/>
      <c r="GF195" s="116"/>
      <c r="GG195" s="116"/>
      <c r="GH195" s="116"/>
      <c r="GJ195" s="1"/>
      <c r="HI195" s="34"/>
      <c r="HN195" s="34"/>
      <c r="HR195" s="4" t="n">
        <f aca="false">0/9*$I182</f>
        <v>0</v>
      </c>
      <c r="AMI195" s="0"/>
      <c r="AMJ195" s="0"/>
    </row>
    <row collapsed="false" customFormat="true" customHeight="true" hidden="false" ht="12.75" outlineLevel="0" r="196" s="4">
      <c r="A196" s="124" t="s">
        <v>491</v>
      </c>
      <c r="B196" s="124"/>
      <c r="C196" s="95" t="n">
        <v>455</v>
      </c>
      <c r="D196" s="124" t="s">
        <v>492</v>
      </c>
      <c r="E196" s="124"/>
      <c r="F196" s="193" t="n">
        <v>0</v>
      </c>
      <c r="G196" s="193" t="n">
        <v>2</v>
      </c>
      <c r="H196" s="193" t="n">
        <v>0</v>
      </c>
      <c r="I196" s="108" t="n">
        <f aca="false">SUM(F196:H196)/3</f>
        <v>0.666666666666667</v>
      </c>
      <c r="J196" s="104"/>
      <c r="K196" s="104"/>
      <c r="R196" s="34"/>
      <c r="CX196" s="35"/>
      <c r="EL196" s="36" t="n">
        <f aca="false">15*$I196</f>
        <v>10</v>
      </c>
      <c r="GB196" s="34"/>
      <c r="GC196" s="116"/>
      <c r="GD196" s="116"/>
      <c r="GE196" s="116"/>
      <c r="GF196" s="116"/>
      <c r="GG196" s="116"/>
      <c r="GH196" s="116"/>
      <c r="GJ196" s="1"/>
      <c r="HI196" s="34"/>
      <c r="HN196" s="34"/>
      <c r="AMI196" s="0"/>
      <c r="AMJ196" s="0"/>
    </row>
    <row collapsed="false" customFormat="true" customHeight="true" hidden="false" ht="12.75" outlineLevel="0" r="197" s="4">
      <c r="A197" s="133" t="s">
        <v>493</v>
      </c>
      <c r="B197" s="133"/>
      <c r="C197" s="134" t="n">
        <v>331</v>
      </c>
      <c r="D197" s="133" t="s">
        <v>494</v>
      </c>
      <c r="E197" s="133"/>
      <c r="F197" s="190" t="n">
        <v>0</v>
      </c>
      <c r="G197" s="190" t="n">
        <v>0</v>
      </c>
      <c r="H197" s="190" t="n">
        <f aca="false">3*3</f>
        <v>9</v>
      </c>
      <c r="I197" s="102" t="n">
        <f aca="false">SUM(F197:H197)/3</f>
        <v>3</v>
      </c>
      <c r="J197" s="104"/>
      <c r="K197" s="104"/>
      <c r="R197" s="34"/>
      <c r="CX197" s="35"/>
      <c r="DW197" s="0"/>
      <c r="EN197" s="0"/>
      <c r="EQ197" s="29" t="n">
        <f aca="false">10*I197</f>
        <v>30</v>
      </c>
      <c r="GB197" s="34"/>
      <c r="GC197" s="116"/>
      <c r="GD197" s="116"/>
      <c r="GE197" s="116"/>
      <c r="GF197" s="116"/>
      <c r="GG197" s="116"/>
      <c r="GH197" s="116"/>
      <c r="GJ197" s="1"/>
      <c r="HI197" s="34"/>
      <c r="HN197" s="34"/>
      <c r="AMI197" s="0"/>
      <c r="AMJ197" s="0"/>
    </row>
    <row collapsed="false" customFormat="true" customHeight="true" hidden="false" ht="12.75" outlineLevel="0" r="198" s="4">
      <c r="A198" s="124" t="s">
        <v>493</v>
      </c>
      <c r="B198" s="124"/>
      <c r="C198" s="95" t="n">
        <v>331</v>
      </c>
      <c r="D198" s="124" t="s">
        <v>494</v>
      </c>
      <c r="E198" s="124"/>
      <c r="F198" s="193" t="n">
        <v>0</v>
      </c>
      <c r="G198" s="193" t="n">
        <v>0</v>
      </c>
      <c r="H198" s="193" t="n">
        <f aca="false">3*2</f>
        <v>6</v>
      </c>
      <c r="I198" s="108" t="n">
        <f aca="false">SUM(F198:H198)/3</f>
        <v>2</v>
      </c>
      <c r="J198" s="104"/>
      <c r="K198" s="104"/>
      <c r="R198" s="34"/>
      <c r="CX198" s="35"/>
      <c r="DW198" s="0"/>
      <c r="EN198" s="0"/>
      <c r="EQ198" s="36" t="n">
        <f aca="false">10*I198</f>
        <v>20</v>
      </c>
      <c r="GB198" s="34"/>
      <c r="GC198" s="116"/>
      <c r="GD198" s="116"/>
      <c r="GE198" s="116"/>
      <c r="GF198" s="116"/>
      <c r="GG198" s="116"/>
      <c r="GH198" s="116"/>
      <c r="GJ198" s="1"/>
      <c r="HI198" s="34"/>
      <c r="HN198" s="34"/>
      <c r="AMI198" s="0"/>
      <c r="AMJ198" s="0"/>
    </row>
    <row collapsed="false" customFormat="false" customHeight="true" hidden="false" ht="12.75" outlineLevel="0" r="199">
      <c r="A199" s="138" t="s">
        <v>495</v>
      </c>
      <c r="B199" s="138"/>
      <c r="C199" s="80" t="n">
        <v>537</v>
      </c>
      <c r="D199" s="139" t="s">
        <v>496</v>
      </c>
      <c r="E199" s="139"/>
      <c r="F199" s="140" t="n">
        <v>0</v>
      </c>
      <c r="G199" s="140" t="n">
        <v>0</v>
      </c>
      <c r="H199" s="140" t="n">
        <v>3</v>
      </c>
      <c r="I199" s="114" t="n">
        <f aca="false">SUM(F199:H199)/3</f>
        <v>1</v>
      </c>
      <c r="J199" s="137"/>
      <c r="K199" s="137"/>
      <c r="L199" s="4"/>
      <c r="M199" s="4"/>
      <c r="N199" s="4"/>
      <c r="O199" s="4"/>
      <c r="P199" s="4"/>
      <c r="Q199" s="4"/>
      <c r="R199" s="34"/>
      <c r="S199" s="4"/>
      <c r="T199" s="4"/>
      <c r="AN199" s="4"/>
      <c r="AO199" s="4"/>
      <c r="AP199" s="4"/>
      <c r="AS199" s="4"/>
      <c r="AT199" s="4"/>
      <c r="AU199" s="4"/>
      <c r="AW199" s="4"/>
      <c r="AX199" s="4"/>
      <c r="AY199" s="4"/>
      <c r="DE199" s="4"/>
      <c r="DF199" s="4"/>
      <c r="FV199" s="4"/>
      <c r="FW199" s="4"/>
      <c r="FX199" s="4"/>
      <c r="IO199" s="4" t="n">
        <f aca="false">5*$I199*1000</f>
        <v>5000</v>
      </c>
    </row>
    <row collapsed="false" customFormat="false" customHeight="true" hidden="false" ht="12.75" outlineLevel="0" r="200">
      <c r="A200" s="118" t="s">
        <v>497</v>
      </c>
      <c r="B200" s="118"/>
      <c r="C200" s="119" t="n">
        <v>1517</v>
      </c>
      <c r="D200" s="120" t="s">
        <v>313</v>
      </c>
      <c r="E200" s="120" t="n">
        <v>0</v>
      </c>
      <c r="F200" s="121" t="n">
        <v>0</v>
      </c>
      <c r="G200" s="121" t="n">
        <f aca="false">3*2</f>
        <v>6</v>
      </c>
      <c r="H200" s="121" t="n">
        <v>3</v>
      </c>
      <c r="I200" s="245" t="n">
        <f aca="false">SUM(F200:H200)/3</f>
        <v>3</v>
      </c>
      <c r="J200" s="137"/>
      <c r="K200" s="137"/>
      <c r="L200" s="4"/>
      <c r="M200" s="4"/>
      <c r="N200" s="4"/>
      <c r="O200" s="4"/>
      <c r="P200" s="4"/>
      <c r="Q200" s="4"/>
      <c r="R200" s="34"/>
      <c r="S200" s="4"/>
      <c r="T200" s="4"/>
      <c r="AN200" s="4"/>
      <c r="AO200" s="4"/>
      <c r="AP200" s="4"/>
      <c r="AS200" s="4"/>
      <c r="AT200" s="4"/>
      <c r="AU200" s="4"/>
      <c r="AW200" s="4"/>
      <c r="AX200" s="4"/>
      <c r="AY200" s="4"/>
      <c r="DE200" s="4"/>
      <c r="DF200" s="4"/>
      <c r="FV200" s="4"/>
      <c r="FW200" s="4"/>
      <c r="FX200" s="4"/>
      <c r="HF200" s="29" t="n">
        <f aca="false">0.3*750*I200</f>
        <v>675</v>
      </c>
      <c r="HG200" s="29" t="n">
        <f aca="false">0.08*750*I200</f>
        <v>180</v>
      </c>
      <c r="HI200" s="252" t="n">
        <f aca="false">0.8*750*I200</f>
        <v>1800</v>
      </c>
      <c r="IO200" s="4"/>
    </row>
    <row collapsed="false" customFormat="false" customHeight="true" hidden="false" ht="12.75" outlineLevel="0" r="201">
      <c r="A201" s="124" t="s">
        <v>497</v>
      </c>
      <c r="B201" s="124"/>
      <c r="C201" s="95" t="n">
        <v>1517</v>
      </c>
      <c r="D201" s="125" t="s">
        <v>313</v>
      </c>
      <c r="E201" s="125" t="n">
        <v>0</v>
      </c>
      <c r="F201" s="126" t="n">
        <v>0</v>
      </c>
      <c r="G201" s="126" t="n">
        <f aca="false">2*2</f>
        <v>4</v>
      </c>
      <c r="H201" s="126" t="n">
        <v>0</v>
      </c>
      <c r="I201" s="108" t="n">
        <f aca="false">SUM(F201:H201)/3</f>
        <v>1.33333333333333</v>
      </c>
      <c r="J201" s="137"/>
      <c r="K201" s="137"/>
      <c r="L201" s="4"/>
      <c r="M201" s="4"/>
      <c r="N201" s="4"/>
      <c r="O201" s="4"/>
      <c r="P201" s="4"/>
      <c r="Q201" s="4"/>
      <c r="R201" s="34"/>
      <c r="S201" s="4"/>
      <c r="T201" s="4"/>
      <c r="AN201" s="4"/>
      <c r="AO201" s="4"/>
      <c r="AP201" s="4"/>
      <c r="AS201" s="4"/>
      <c r="AT201" s="4"/>
      <c r="AU201" s="4"/>
      <c r="AW201" s="4"/>
      <c r="AX201" s="4"/>
      <c r="AY201" s="4"/>
      <c r="DE201" s="4"/>
      <c r="DF201" s="4"/>
      <c r="FV201" s="4"/>
      <c r="FW201" s="4"/>
      <c r="FX201" s="4"/>
      <c r="HF201" s="36" t="n">
        <f aca="false">0.3*750*I201</f>
        <v>300</v>
      </c>
      <c r="HG201" s="36" t="n">
        <f aca="false">0.08*750*I201</f>
        <v>80</v>
      </c>
      <c r="HI201" s="40" t="n">
        <f aca="false">0.8*750*I201</f>
        <v>800</v>
      </c>
      <c r="IO201" s="4"/>
    </row>
    <row collapsed="false" customFormat="false" customHeight="true" hidden="false" ht="12.75" outlineLevel="0" r="202">
      <c r="A202" s="141" t="s">
        <v>498</v>
      </c>
      <c r="B202" s="141"/>
      <c r="C202" s="179" t="n">
        <v>1568</v>
      </c>
      <c r="D202" s="143" t="s">
        <v>286</v>
      </c>
      <c r="E202" s="143"/>
      <c r="F202" s="144" t="n">
        <f aca="false">2*2</f>
        <v>4</v>
      </c>
      <c r="G202" s="144" t="n">
        <f aca="false">2*2</f>
        <v>4</v>
      </c>
      <c r="H202" s="144" t="n">
        <v>0</v>
      </c>
      <c r="I202" s="102" t="n">
        <f aca="false">SUM(F202:H202)/3</f>
        <v>2.66666666666667</v>
      </c>
      <c r="J202" s="137"/>
      <c r="K202" s="137"/>
      <c r="L202" s="4"/>
      <c r="M202" s="4"/>
      <c r="N202" s="4"/>
      <c r="O202" s="4"/>
      <c r="P202" s="4"/>
      <c r="Q202" s="4"/>
      <c r="R202" s="34"/>
      <c r="S202" s="4"/>
      <c r="T202" s="4"/>
      <c r="V202" s="253" t="n">
        <f aca="false">174/(203+174+2*36.5)*675/4*$I202</f>
        <v>174</v>
      </c>
      <c r="AN202" s="4"/>
      <c r="AO202" s="4"/>
      <c r="AP202" s="4"/>
      <c r="AS202" s="253" t="n">
        <f aca="false">203/(203+36.5)*0/4*$I202</f>
        <v>0</v>
      </c>
      <c r="AT202" s="253" t="n">
        <f aca="false">675/4*$I202</f>
        <v>450</v>
      </c>
      <c r="AU202" s="68"/>
      <c r="AW202" s="147" t="n">
        <f aca="false">1000/4*$I202</f>
        <v>666.666666666667</v>
      </c>
      <c r="AX202" s="4"/>
      <c r="AY202" s="4"/>
      <c r="DE202" s="4"/>
      <c r="DF202" s="4"/>
      <c r="EJ202" s="145" t="n">
        <f aca="false">8/4*$I202</f>
        <v>5.33333333333333</v>
      </c>
      <c r="EK202" s="115"/>
      <c r="FV202" s="4"/>
      <c r="FW202" s="4"/>
      <c r="FX202" s="4"/>
      <c r="GJ202" s="132" t="n">
        <f aca="false">10/4*$I202</f>
        <v>6.66666666666667</v>
      </c>
      <c r="GM202" s="181" t="n">
        <f aca="false">150/4*$I202</f>
        <v>100</v>
      </c>
      <c r="GN202" s="4"/>
      <c r="GO202" s="181" t="n">
        <f aca="false">0/4*$I202</f>
        <v>0</v>
      </c>
      <c r="GP202" s="4"/>
      <c r="GQ202" s="4"/>
      <c r="GR202" s="4"/>
      <c r="GS202" s="4"/>
      <c r="GT202" s="4"/>
      <c r="GU202" s="4"/>
      <c r="GV202" s="4"/>
      <c r="GW202" s="4"/>
      <c r="HJ202" s="181" t="n">
        <f aca="false">0/4*$I202</f>
        <v>0</v>
      </c>
      <c r="IC202" s="181" t="n">
        <f aca="false">150/4*$I202</f>
        <v>100</v>
      </c>
      <c r="ID202" s="181" t="n">
        <f aca="false">0/4*$I202</f>
        <v>0</v>
      </c>
      <c r="IJ202" s="146" t="n">
        <f aca="false">100/4*$I202</f>
        <v>66.6666666666667</v>
      </c>
      <c r="IK202" s="0"/>
    </row>
    <row collapsed="false" customFormat="false" customHeight="true" hidden="false" ht="12.75" outlineLevel="0" r="203">
      <c r="A203" s="124" t="s">
        <v>498</v>
      </c>
      <c r="B203" s="124"/>
      <c r="C203" s="95" t="n">
        <v>1568</v>
      </c>
      <c r="D203" s="125" t="s">
        <v>286</v>
      </c>
      <c r="E203" s="125"/>
      <c r="F203" s="126" t="n">
        <f aca="false">1*2</f>
        <v>2</v>
      </c>
      <c r="G203" s="126" t="n">
        <f aca="false">2*2</f>
        <v>4</v>
      </c>
      <c r="H203" s="126" t="n">
        <v>0</v>
      </c>
      <c r="I203" s="108" t="n">
        <f aca="false">SUM(F203:H203)/3</f>
        <v>2</v>
      </c>
      <c r="J203" s="137"/>
      <c r="K203" s="137"/>
      <c r="L203" s="4"/>
      <c r="M203" s="4"/>
      <c r="N203" s="4"/>
      <c r="O203" s="4"/>
      <c r="P203" s="4"/>
      <c r="Q203" s="4"/>
      <c r="R203" s="34"/>
      <c r="S203" s="4"/>
      <c r="T203" s="4"/>
      <c r="V203" s="254" t="n">
        <f aca="false">174/(203+174+2*36.5)*675/4*$I203</f>
        <v>130.5</v>
      </c>
      <c r="AN203" s="4"/>
      <c r="AO203" s="4"/>
      <c r="AP203" s="4"/>
      <c r="AS203" s="254" t="n">
        <f aca="false">203/(203+36.5)*0/4*$I203</f>
        <v>0</v>
      </c>
      <c r="AT203" s="254" t="n">
        <f aca="false">675/4*$I203</f>
        <v>337.5</v>
      </c>
      <c r="AU203" s="68"/>
      <c r="AW203" s="36" t="n">
        <f aca="false">1000/4*$I203</f>
        <v>500</v>
      </c>
      <c r="AX203" s="4"/>
      <c r="AY203" s="4"/>
      <c r="DE203" s="4"/>
      <c r="DF203" s="4"/>
      <c r="EJ203" s="36" t="n">
        <f aca="false">8/4*$I203</f>
        <v>4</v>
      </c>
      <c r="EK203" s="4"/>
      <c r="FV203" s="4"/>
      <c r="FW203" s="4"/>
      <c r="FX203" s="4"/>
      <c r="GJ203" s="36" t="n">
        <f aca="false">10/4*$I203</f>
        <v>5</v>
      </c>
      <c r="GM203" s="36" t="n">
        <f aca="false">150/4*$I203</f>
        <v>75</v>
      </c>
      <c r="GN203" s="4"/>
      <c r="GO203" s="36" t="n">
        <f aca="false">0/4*$I203</f>
        <v>0</v>
      </c>
      <c r="GP203" s="4"/>
      <c r="GQ203" s="4"/>
      <c r="GR203" s="4"/>
      <c r="GS203" s="4"/>
      <c r="GT203" s="4"/>
      <c r="GU203" s="4"/>
      <c r="GV203" s="4"/>
      <c r="GW203" s="4"/>
      <c r="HJ203" s="36" t="n">
        <f aca="false">0/4*$I203</f>
        <v>0</v>
      </c>
      <c r="IC203" s="36" t="n">
        <f aca="false">150/4*$I203</f>
        <v>75</v>
      </c>
      <c r="ID203" s="36" t="n">
        <f aca="false">0/4*$I203</f>
        <v>0</v>
      </c>
      <c r="IJ203" s="36" t="n">
        <f aca="false">100/4*$I203</f>
        <v>50</v>
      </c>
      <c r="IK203" s="0"/>
    </row>
    <row collapsed="false" customFormat="false" customHeight="true" hidden="false" ht="12.75" outlineLevel="0" r="204">
      <c r="A204" s="141" t="s">
        <v>499</v>
      </c>
      <c r="B204" s="141"/>
      <c r="C204" s="179" t="n">
        <v>451</v>
      </c>
      <c r="D204" s="143" t="s">
        <v>425</v>
      </c>
      <c r="E204" s="143"/>
      <c r="F204" s="144" t="n">
        <f aca="false">2*2</f>
        <v>4</v>
      </c>
      <c r="G204" s="144" t="n">
        <f aca="false">2*2</f>
        <v>4</v>
      </c>
      <c r="H204" s="144" t="n">
        <f aca="false">2*3</f>
        <v>6</v>
      </c>
      <c r="I204" s="102" t="n">
        <f aca="false">SUM(F204:H204)/3</f>
        <v>4.66666666666667</v>
      </c>
      <c r="J204" s="137"/>
      <c r="K204" s="137"/>
      <c r="ET204" s="145" t="n">
        <f aca="false">1000*$I204</f>
        <v>4666.66666666667</v>
      </c>
    </row>
    <row collapsed="false" customFormat="false" customHeight="true" hidden="false" ht="12.75" outlineLevel="0" r="205">
      <c r="A205" s="124" t="s">
        <v>499</v>
      </c>
      <c r="B205" s="124"/>
      <c r="C205" s="95" t="n">
        <v>451</v>
      </c>
      <c r="D205" s="125" t="s">
        <v>425</v>
      </c>
      <c r="E205" s="125"/>
      <c r="F205" s="126" t="n">
        <v>2</v>
      </c>
      <c r="G205" s="126" t="n">
        <v>2</v>
      </c>
      <c r="H205" s="126" t="n">
        <f aca="false">3</f>
        <v>3</v>
      </c>
      <c r="I205" s="108" t="n">
        <f aca="false">SUM(F205:H205)/3</f>
        <v>2.33333333333333</v>
      </c>
      <c r="J205" s="137"/>
      <c r="K205" s="137"/>
      <c r="ET205" s="127" t="n">
        <f aca="false">1000*$I205</f>
        <v>2333.33333333333</v>
      </c>
      <c r="GJ205" s="0"/>
    </row>
    <row collapsed="false" customFormat="false" customHeight="true" hidden="false" ht="12.75" outlineLevel="0" r="206">
      <c r="A206" s="128" t="s">
        <v>500</v>
      </c>
      <c r="B206" s="128"/>
      <c r="C206" s="91" t="n">
        <v>215</v>
      </c>
      <c r="D206" s="129" t="s">
        <v>501</v>
      </c>
      <c r="E206" s="129"/>
      <c r="F206" s="130" t="n">
        <v>2</v>
      </c>
      <c r="G206" s="130" t="n">
        <f aca="false">1*2</f>
        <v>2</v>
      </c>
      <c r="H206" s="130" t="n">
        <f aca="false">1*3</f>
        <v>3</v>
      </c>
      <c r="I206" s="131" t="n">
        <f aca="false">SUM(F206:H206)/3</f>
        <v>2.33333333333333</v>
      </c>
      <c r="J206" s="137"/>
      <c r="K206" s="137"/>
      <c r="BP206" s="132" t="n">
        <f aca="false">600*$I206</f>
        <v>1400</v>
      </c>
      <c r="GJ206" s="0"/>
    </row>
    <row collapsed="false" customFormat="false" customHeight="true" hidden="false" ht="12.75" outlineLevel="0" r="207">
      <c r="A207" s="124" t="s">
        <v>500</v>
      </c>
      <c r="B207" s="124"/>
      <c r="C207" s="95" t="n">
        <v>215</v>
      </c>
      <c r="D207" s="125" t="s">
        <v>501</v>
      </c>
      <c r="E207" s="125"/>
      <c r="F207" s="126" t="n">
        <v>1</v>
      </c>
      <c r="G207" s="255" t="n">
        <f aca="false">2*2</f>
        <v>4</v>
      </c>
      <c r="H207" s="126" t="n">
        <v>0</v>
      </c>
      <c r="I207" s="108" t="n">
        <f aca="false">SUM(F207:H207)/3</f>
        <v>1.66666666666667</v>
      </c>
      <c r="J207" s="137"/>
      <c r="K207" s="137"/>
      <c r="BP207" s="36" t="n">
        <f aca="false">600*$I207</f>
        <v>1000</v>
      </c>
    </row>
    <row collapsed="false" customFormat="true" customHeight="true" hidden="false" ht="12.75" outlineLevel="0" r="208" s="4">
      <c r="A208" s="110" t="s">
        <v>502</v>
      </c>
      <c r="B208" s="110"/>
      <c r="C208" s="111" t="n">
        <v>66</v>
      </c>
      <c r="D208" s="110" t="s">
        <v>503</v>
      </c>
      <c r="E208" s="110"/>
      <c r="F208" s="238" t="n">
        <v>0</v>
      </c>
      <c r="G208" s="238" t="n">
        <v>2</v>
      </c>
      <c r="H208" s="238" t="n">
        <v>3</v>
      </c>
      <c r="I208" s="114" t="n">
        <f aca="false">SUM(F208:H208)/3</f>
        <v>1.66666666666667</v>
      </c>
      <c r="J208" s="104"/>
      <c r="K208" s="104"/>
      <c r="R208" s="34"/>
      <c r="CX208" s="35"/>
      <c r="EY208" s="4" t="n">
        <f aca="false">1440/2*$I208</f>
        <v>1200</v>
      </c>
      <c r="GB208" s="34"/>
      <c r="GC208" s="116"/>
      <c r="GD208" s="116"/>
      <c r="GE208" s="116"/>
      <c r="GF208" s="116"/>
      <c r="GG208" s="116"/>
      <c r="GH208" s="116"/>
      <c r="GJ208" s="1"/>
      <c r="HI208" s="34"/>
      <c r="HN208" s="34"/>
      <c r="AMI208" s="0"/>
      <c r="AMJ208" s="0"/>
    </row>
    <row collapsed="false" customFormat="true" customHeight="true" hidden="false" ht="12.75" outlineLevel="0" r="209" s="4">
      <c r="A209" s="167" t="s">
        <v>504</v>
      </c>
      <c r="B209" s="173"/>
      <c r="C209" s="168" t="n">
        <v>3142</v>
      </c>
      <c r="D209" s="169" t="s">
        <v>338</v>
      </c>
      <c r="E209" s="169"/>
      <c r="F209" s="170" t="n">
        <v>0</v>
      </c>
      <c r="G209" s="170" t="n">
        <v>0</v>
      </c>
      <c r="H209" s="170" t="n">
        <v>0</v>
      </c>
      <c r="I209" s="171" t="n">
        <f aca="false">SUM(F209:H209)/3</f>
        <v>0</v>
      </c>
      <c r="J209" s="104"/>
      <c r="K209" s="104"/>
      <c r="R209" s="34"/>
      <c r="CX209" s="35"/>
      <c r="FB209" s="148" t="n">
        <f aca="false">250*I209</f>
        <v>0</v>
      </c>
      <c r="GB209" s="34"/>
      <c r="GC209" s="116"/>
      <c r="GD209" s="116"/>
      <c r="GE209" s="116"/>
      <c r="GF209" s="116"/>
      <c r="GG209" s="116"/>
      <c r="GH209" s="116"/>
      <c r="GJ209" s="1"/>
      <c r="HI209" s="34"/>
      <c r="HN209" s="34"/>
      <c r="AMI209" s="0"/>
      <c r="AMJ209" s="0"/>
    </row>
    <row collapsed="false" customFormat="true" customHeight="true" hidden="false" ht="12.75" outlineLevel="0" r="210" s="4">
      <c r="A210" s="167" t="s">
        <v>504</v>
      </c>
      <c r="B210" s="173"/>
      <c r="C210" s="168" t="n">
        <v>3142</v>
      </c>
      <c r="D210" s="169" t="s">
        <v>338</v>
      </c>
      <c r="E210" s="169"/>
      <c r="F210" s="170" t="n">
        <v>0</v>
      </c>
      <c r="G210" s="170" t="n">
        <v>0</v>
      </c>
      <c r="H210" s="170" t="n">
        <v>0</v>
      </c>
      <c r="I210" s="171" t="n">
        <f aca="false">SUM(F210:H210)/3</f>
        <v>0</v>
      </c>
      <c r="J210" s="104"/>
      <c r="K210" s="104"/>
      <c r="R210" s="34"/>
      <c r="CX210" s="35"/>
      <c r="FB210" s="127" t="n">
        <f aca="false">250*I210</f>
        <v>0</v>
      </c>
      <c r="GB210" s="34"/>
      <c r="GC210" s="116"/>
      <c r="GD210" s="116"/>
      <c r="GE210" s="116"/>
      <c r="GF210" s="116"/>
      <c r="GG210" s="116"/>
      <c r="GH210" s="116"/>
      <c r="GJ210" s="1"/>
      <c r="HI210" s="34"/>
      <c r="HN210" s="34"/>
      <c r="AMI210" s="0"/>
      <c r="AMJ210" s="0"/>
    </row>
    <row collapsed="false" customFormat="false" customHeight="true" hidden="false" ht="12.75" outlineLevel="0" r="211">
      <c r="A211" s="141" t="s">
        <v>505</v>
      </c>
      <c r="B211" s="141"/>
      <c r="C211" s="179" t="n">
        <v>1495</v>
      </c>
      <c r="D211" s="143" t="s">
        <v>277</v>
      </c>
      <c r="E211" s="143"/>
      <c r="F211" s="144" t="n">
        <v>0</v>
      </c>
      <c r="G211" s="144" t="n">
        <f aca="false">2*2</f>
        <v>4</v>
      </c>
      <c r="H211" s="144" t="n">
        <v>0</v>
      </c>
      <c r="I211" s="131" t="n">
        <f aca="false">SUM(F211:H211)/3</f>
        <v>1.33333333333333</v>
      </c>
      <c r="J211" s="103" t="n">
        <f aca="false">70/2*$I211</f>
        <v>46.6666666666667</v>
      </c>
      <c r="K211" s="104"/>
      <c r="AN211" s="181" t="n">
        <f aca="false">3/2*$I211</f>
        <v>2</v>
      </c>
      <c r="AZ211" s="181" t="n">
        <f aca="false">252/2*$I211</f>
        <v>168</v>
      </c>
      <c r="EL211" s="145" t="n">
        <f aca="false">10/2*$I211</f>
        <v>6.66666666666667</v>
      </c>
      <c r="EM211" s="4"/>
      <c r="FA211" s="181" t="n">
        <f aca="false">240/2*I211</f>
        <v>160</v>
      </c>
      <c r="FT211" s="33" t="n">
        <f aca="false">(0.59*678+0.266*678)/2*I211</f>
        <v>386.912</v>
      </c>
      <c r="FU211" s="34"/>
      <c r="GS211" s="181" t="n">
        <f aca="false">0/2*I211</f>
        <v>0</v>
      </c>
      <c r="GX211" s="145" t="n">
        <f aca="false">320/2*$I211</f>
        <v>213.333333333333</v>
      </c>
      <c r="GY211" s="4"/>
    </row>
    <row collapsed="false" customFormat="true" customHeight="true" hidden="false" ht="12.75" outlineLevel="0" r="212" s="182">
      <c r="A212" s="110" t="s">
        <v>506</v>
      </c>
      <c r="B212" s="110"/>
      <c r="C212" s="111" t="n">
        <v>1511</v>
      </c>
      <c r="D212" s="112" t="s">
        <v>352</v>
      </c>
      <c r="E212" s="112"/>
      <c r="F212" s="113" t="n">
        <v>0</v>
      </c>
      <c r="G212" s="113" t="n">
        <v>0</v>
      </c>
      <c r="H212" s="113" t="n">
        <v>3</v>
      </c>
      <c r="I212" s="114" t="n">
        <f aca="false">SUM(F212:H212)/3</f>
        <v>1</v>
      </c>
      <c r="J212" s="256"/>
      <c r="K212" s="104"/>
      <c r="L212" s="4"/>
      <c r="M212" s="4"/>
      <c r="N212" s="4"/>
      <c r="O212" s="4"/>
      <c r="P212" s="4"/>
      <c r="Q212" s="4"/>
      <c r="R212" s="3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35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115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34"/>
      <c r="FU212" s="34"/>
      <c r="FV212" s="4"/>
      <c r="FW212" s="4"/>
      <c r="FX212" s="4"/>
      <c r="FY212" s="4"/>
      <c r="FZ212" s="4"/>
      <c r="GA212" s="4"/>
      <c r="GB212" s="34"/>
      <c r="GC212" s="116"/>
      <c r="GD212" s="116"/>
      <c r="GE212" s="116"/>
      <c r="GF212" s="116"/>
      <c r="GG212" s="116"/>
      <c r="GH212" s="116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115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34"/>
      <c r="HJ212" s="4"/>
      <c r="HK212" s="4"/>
      <c r="HL212" s="4"/>
      <c r="HM212" s="4"/>
      <c r="HN212" s="3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</row>
    <row collapsed="false" customFormat="true" customHeight="true" hidden="false" ht="12.75" outlineLevel="0" r="213" s="4">
      <c r="A213" s="110" t="s">
        <v>507</v>
      </c>
      <c r="B213" s="110"/>
      <c r="C213" s="111" t="n">
        <v>987</v>
      </c>
      <c r="D213" s="112" t="s">
        <v>352</v>
      </c>
      <c r="E213" s="112"/>
      <c r="F213" s="113" t="n">
        <v>0</v>
      </c>
      <c r="G213" s="113" t="n">
        <v>0</v>
      </c>
      <c r="H213" s="113" t="n">
        <v>3</v>
      </c>
      <c r="I213" s="114" t="n">
        <f aca="false">SUM(F213:H213)/3</f>
        <v>1</v>
      </c>
      <c r="J213" s="104"/>
      <c r="K213" s="104"/>
      <c r="R213" s="34"/>
      <c r="CX213" s="35"/>
      <c r="EH213" s="4" t="n">
        <f aca="false">300*$I213</f>
        <v>300</v>
      </c>
      <c r="GB213" s="34"/>
      <c r="GC213" s="116"/>
      <c r="GD213" s="116"/>
      <c r="GE213" s="116"/>
      <c r="GF213" s="116"/>
      <c r="GG213" s="116"/>
      <c r="GH213" s="116"/>
      <c r="GJ213" s="1"/>
      <c r="HI213" s="34"/>
      <c r="HN213" s="34"/>
      <c r="HQ213" s="4" t="n">
        <f aca="false">200*$I213</f>
        <v>200</v>
      </c>
      <c r="AMI213" s="0"/>
      <c r="AMJ213" s="0"/>
    </row>
    <row collapsed="false" customFormat="false" customHeight="true" hidden="false" ht="12.75" outlineLevel="0" r="214">
      <c r="A214" s="141" t="s">
        <v>508</v>
      </c>
      <c r="B214" s="141"/>
      <c r="C214" s="179" t="n">
        <v>13748</v>
      </c>
      <c r="D214" s="143" t="s">
        <v>320</v>
      </c>
      <c r="E214" s="143"/>
      <c r="F214" s="136" t="n">
        <v>0</v>
      </c>
      <c r="G214" s="136" t="n">
        <v>2</v>
      </c>
      <c r="H214" s="136" t="n">
        <v>3</v>
      </c>
      <c r="I214" s="102" t="n">
        <f aca="false">SUM(F214:H214)/3</f>
        <v>1.66666666666667</v>
      </c>
      <c r="J214" s="137"/>
      <c r="K214" s="137"/>
      <c r="EZ214" s="145" t="n">
        <f aca="false">100*$I214</f>
        <v>166.666666666667</v>
      </c>
      <c r="IM214" s="4"/>
      <c r="IN214" s="4"/>
      <c r="IO214" s="4"/>
      <c r="IP214" s="4"/>
      <c r="IQ214" s="4"/>
    </row>
    <row collapsed="false" customFormat="false" customHeight="true" hidden="false" ht="12.75" outlineLevel="0" r="215">
      <c r="A215" s="124" t="s">
        <v>508</v>
      </c>
      <c r="B215" s="124"/>
      <c r="C215" s="95" t="n">
        <v>13748</v>
      </c>
      <c r="D215" s="125" t="s">
        <v>320</v>
      </c>
      <c r="E215" s="125"/>
      <c r="F215" s="126" t="n">
        <v>0</v>
      </c>
      <c r="G215" s="126" t="n">
        <v>2</v>
      </c>
      <c r="H215" s="126" t="n">
        <v>3</v>
      </c>
      <c r="I215" s="108" t="n">
        <f aca="false">SUM(F215:H215)/3</f>
        <v>1.66666666666667</v>
      </c>
      <c r="J215" s="137"/>
      <c r="K215" s="137"/>
      <c r="EZ215" s="127" t="n">
        <f aca="false">100*$I215</f>
        <v>166.666666666667</v>
      </c>
      <c r="IM215" s="4"/>
      <c r="IN215" s="4"/>
      <c r="IO215" s="4"/>
      <c r="IP215" s="4"/>
      <c r="IQ215" s="4"/>
    </row>
    <row collapsed="false" customFormat="true" customHeight="true" hidden="false" ht="12.75" outlineLevel="0" r="216" s="182">
      <c r="A216" s="110" t="s">
        <v>509</v>
      </c>
      <c r="B216" s="110"/>
      <c r="C216" s="111" t="n">
        <v>25106</v>
      </c>
      <c r="D216" s="112" t="s">
        <v>510</v>
      </c>
      <c r="E216" s="112" t="n">
        <v>0</v>
      </c>
      <c r="F216" s="113" t="n">
        <v>0</v>
      </c>
      <c r="G216" s="113" t="n">
        <f aca="false">+2*2</f>
        <v>4</v>
      </c>
      <c r="H216" s="113" t="n">
        <v>0</v>
      </c>
      <c r="I216" s="114" t="n">
        <f aca="false">SUM(F216:H216)/3</f>
        <v>1.33333333333333</v>
      </c>
      <c r="J216" s="104"/>
      <c r="K216" s="104"/>
      <c r="L216" s="4"/>
      <c r="M216" s="4"/>
      <c r="N216" s="4"/>
      <c r="O216" s="4"/>
      <c r="P216" s="4"/>
      <c r="Q216" s="4"/>
      <c r="R216" s="3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35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115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34"/>
      <c r="GC216" s="116"/>
      <c r="GD216" s="116"/>
      <c r="GE216" s="116"/>
      <c r="GF216" s="116"/>
      <c r="GG216" s="116"/>
      <c r="GH216" s="116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34"/>
      <c r="HJ216" s="4"/>
      <c r="HK216" s="4"/>
      <c r="HL216" s="4"/>
      <c r="HM216" s="4"/>
      <c r="HN216" s="3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 t="n">
        <f aca="false">1000*I216</f>
        <v>1333.33333333333</v>
      </c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</row>
    <row collapsed="false" customFormat="false" customHeight="true" hidden="false" ht="12.75" outlineLevel="0" r="217">
      <c r="A217" s="110" t="s">
        <v>511</v>
      </c>
      <c r="B217" s="110"/>
      <c r="C217" s="111" t="n">
        <v>373</v>
      </c>
      <c r="D217" s="112" t="s">
        <v>365</v>
      </c>
      <c r="E217" s="112"/>
      <c r="F217" s="113" t="n">
        <v>2</v>
      </c>
      <c r="G217" s="113" t="n">
        <v>2</v>
      </c>
      <c r="H217" s="113" t="n">
        <v>0</v>
      </c>
      <c r="I217" s="114" t="n">
        <f aca="false">SUM(F217:H217)/3</f>
        <v>1.33333333333333</v>
      </c>
      <c r="J217" s="137"/>
      <c r="K217" s="137"/>
      <c r="DW217" s="115" t="n">
        <f aca="false">160*$I217</f>
        <v>213.333333333333</v>
      </c>
      <c r="IF217" s="115" t="n">
        <f aca="false">640*$I217</f>
        <v>853.333333333333</v>
      </c>
    </row>
    <row collapsed="false" customFormat="false" customHeight="true" hidden="false" ht="12.75" outlineLevel="0" r="218">
      <c r="A218" s="133" t="s">
        <v>512</v>
      </c>
      <c r="B218" s="133"/>
      <c r="C218" s="134" t="n">
        <v>28394</v>
      </c>
      <c r="D218" s="135" t="s">
        <v>513</v>
      </c>
      <c r="E218" s="135"/>
      <c r="F218" s="136" t="n">
        <v>0</v>
      </c>
      <c r="G218" s="136" t="n">
        <f aca="false">2*0.6*2*30</f>
        <v>72</v>
      </c>
      <c r="H218" s="136" t="n">
        <v>0</v>
      </c>
      <c r="I218" s="102" t="n">
        <f aca="false">SUM(F218:H218)/3</f>
        <v>24</v>
      </c>
      <c r="J218" s="137"/>
      <c r="K218" s="137"/>
      <c r="AQ218" s="146" t="n">
        <f aca="false">30.6/30*$I218</f>
        <v>24.48</v>
      </c>
      <c r="CQ218" s="29" t="n">
        <f aca="false">234/30*$I218</f>
        <v>187.2</v>
      </c>
      <c r="DW218" s="4"/>
      <c r="DZ218" s="146" t="n">
        <f aca="false">0.818/30*$I218</f>
        <v>0.6544</v>
      </c>
      <c r="EA218" s="115"/>
      <c r="EB218" s="115"/>
      <c r="EN218" s="146" t="n">
        <f aca="false">5.92/30*$I218</f>
        <v>4.736</v>
      </c>
      <c r="EO218" s="115"/>
      <c r="FC218" s="29" t="n">
        <f aca="false">30/30*I218</f>
        <v>24</v>
      </c>
      <c r="FY218" s="29" t="n">
        <f aca="false">302/30*$I218</f>
        <v>241.6</v>
      </c>
      <c r="IF218" s="146" t="n">
        <f aca="false">1.85/30*$I218</f>
        <v>1.48</v>
      </c>
    </row>
    <row collapsed="false" customFormat="false" customHeight="true" hidden="false" ht="12.75" outlineLevel="0" r="219">
      <c r="A219" s="124" t="s">
        <v>512</v>
      </c>
      <c r="B219" s="124"/>
      <c r="C219" s="95" t="n">
        <v>28394</v>
      </c>
      <c r="D219" s="125" t="s">
        <v>513</v>
      </c>
      <c r="E219" s="125"/>
      <c r="F219" s="126" t="n">
        <v>0</v>
      </c>
      <c r="G219" s="126" t="n">
        <f aca="false">2*0.4*2*30</f>
        <v>48</v>
      </c>
      <c r="H219" s="126" t="n">
        <v>0</v>
      </c>
      <c r="I219" s="108" t="n">
        <f aca="false">SUM(F219:H219)/3</f>
        <v>16</v>
      </c>
      <c r="J219" s="137"/>
      <c r="K219" s="137"/>
      <c r="AQ219" s="127" t="n">
        <f aca="false">30.6/30*$I219</f>
        <v>16.32</v>
      </c>
      <c r="CQ219" s="36" t="n">
        <f aca="false">234/30*$I219</f>
        <v>124.8</v>
      </c>
      <c r="DW219" s="4"/>
      <c r="DZ219" s="127" t="n">
        <f aca="false">0.818/30*$I219</f>
        <v>0.436266666666667</v>
      </c>
      <c r="EA219" s="115"/>
      <c r="EB219" s="115"/>
      <c r="EN219" s="127" t="n">
        <f aca="false">5.92/30*$I219</f>
        <v>3.15733333333333</v>
      </c>
      <c r="EO219" s="115"/>
      <c r="FC219" s="36" t="n">
        <f aca="false">30/30*I219</f>
        <v>16</v>
      </c>
      <c r="FY219" s="127" t="n">
        <f aca="false">302/30*I219</f>
        <v>161.066666666667</v>
      </c>
      <c r="IF219" s="127" t="n">
        <f aca="false">1.85/30*$I219</f>
        <v>0.986666666666667</v>
      </c>
    </row>
    <row collapsed="false" customFormat="false" customHeight="true" hidden="false" ht="12.75" outlineLevel="0" r="220">
      <c r="A220" s="141" t="s">
        <v>514</v>
      </c>
      <c r="B220" s="141"/>
      <c r="C220" s="257" t="n">
        <v>12779</v>
      </c>
      <c r="D220" s="143" t="s">
        <v>277</v>
      </c>
      <c r="E220" s="143"/>
      <c r="F220" s="144" t="n">
        <v>2</v>
      </c>
      <c r="G220" s="144" t="n">
        <v>2</v>
      </c>
      <c r="H220" s="144" t="n">
        <v>0</v>
      </c>
      <c r="I220" s="131" t="n">
        <f aca="false">SUM(F220:H220)/3</f>
        <v>1.33333333333333</v>
      </c>
      <c r="J220" s="137"/>
      <c r="K220" s="137"/>
      <c r="FG220" s="181" t="n">
        <f aca="false">45*I220</f>
        <v>60</v>
      </c>
    </row>
    <row collapsed="false" customFormat="false" customHeight="true" hidden="false" ht="12.75" outlineLevel="0" r="221">
      <c r="A221" s="124" t="s">
        <v>514</v>
      </c>
      <c r="B221" s="124"/>
      <c r="C221" s="95" t="n">
        <v>12779</v>
      </c>
      <c r="D221" s="125" t="s">
        <v>277</v>
      </c>
      <c r="E221" s="125"/>
      <c r="F221" s="126" t="n">
        <v>2</v>
      </c>
      <c r="G221" s="126" t="n">
        <v>2</v>
      </c>
      <c r="H221" s="126" t="n">
        <v>0</v>
      </c>
      <c r="I221" s="108" t="n">
        <f aca="false">SUM(F221:H221)/3</f>
        <v>1.33333333333333</v>
      </c>
      <c r="J221" s="137"/>
      <c r="K221" s="137"/>
      <c r="FG221" s="36" t="n">
        <f aca="false">45*I221</f>
        <v>60</v>
      </c>
    </row>
    <row collapsed="false" customFormat="true" customHeight="true" hidden="false" ht="12.75" outlineLevel="0" r="222" s="4">
      <c r="A222" s="110" t="s">
        <v>515</v>
      </c>
      <c r="B222" s="110"/>
      <c r="C222" s="111" t="n">
        <v>471</v>
      </c>
      <c r="D222" s="112" t="s">
        <v>516</v>
      </c>
      <c r="E222" s="112"/>
      <c r="F222" s="113" t="n">
        <v>0</v>
      </c>
      <c r="G222" s="113" t="n">
        <f aca="false">2*2</f>
        <v>4</v>
      </c>
      <c r="H222" s="113" t="n">
        <v>0</v>
      </c>
      <c r="I222" s="114" t="n">
        <f aca="false">SUM(F222:H222)/3</f>
        <v>1.33333333333333</v>
      </c>
      <c r="J222" s="104"/>
      <c r="K222" s="104"/>
      <c r="R222" s="34"/>
      <c r="CX222" s="35"/>
      <c r="FF222" s="115" t="n">
        <f aca="false">500*I222</f>
        <v>666.666666666667</v>
      </c>
      <c r="GB222" s="34"/>
      <c r="GC222" s="116"/>
      <c r="GD222" s="116"/>
      <c r="GE222" s="116"/>
      <c r="GF222" s="116"/>
      <c r="GG222" s="116"/>
      <c r="GH222" s="116"/>
      <c r="GJ222" s="1"/>
      <c r="HI222" s="34"/>
      <c r="HN222" s="34"/>
      <c r="AMI222" s="0"/>
      <c r="AMJ222" s="0"/>
    </row>
    <row collapsed="false" customFormat="false" customHeight="true" hidden="false" ht="12.95" outlineLevel="0" r="223">
      <c r="A223" s="110" t="s">
        <v>517</v>
      </c>
      <c r="B223" s="110"/>
      <c r="C223" s="111" t="n">
        <v>4118</v>
      </c>
      <c r="D223" s="112" t="s">
        <v>518</v>
      </c>
      <c r="E223" s="112"/>
      <c r="F223" s="113" t="n">
        <v>0</v>
      </c>
      <c r="G223" s="113" t="n">
        <v>2</v>
      </c>
      <c r="H223" s="113" t="n">
        <v>0</v>
      </c>
      <c r="I223" s="114" t="n">
        <f aca="false">SUM(F223:H223)/3</f>
        <v>0.666666666666667</v>
      </c>
      <c r="J223" s="137"/>
      <c r="K223" s="137"/>
      <c r="AR223" s="115" t="n">
        <f aca="false">25*I223</f>
        <v>16.6666666666667</v>
      </c>
      <c r="BH223" s="4"/>
      <c r="GS223" s="51" t="n">
        <f aca="false">25*I223</f>
        <v>16.6666666666667</v>
      </c>
      <c r="GY223" s="1" t="n">
        <f aca="false">(350+100)*I223</f>
        <v>300</v>
      </c>
    </row>
    <row collapsed="false" customFormat="true" customHeight="true" hidden="false" ht="12.75" outlineLevel="0" r="224" s="4">
      <c r="A224" s="133" t="s">
        <v>519</v>
      </c>
      <c r="B224" s="133"/>
      <c r="C224" s="134" t="n">
        <v>717</v>
      </c>
      <c r="D224" s="135" t="s">
        <v>338</v>
      </c>
      <c r="E224" s="135"/>
      <c r="F224" s="136" t="n">
        <f aca="false">1</f>
        <v>1</v>
      </c>
      <c r="G224" s="136" t="n">
        <v>0</v>
      </c>
      <c r="H224" s="136" t="n">
        <v>0</v>
      </c>
      <c r="I224" s="102" t="n">
        <f aca="false">SUM(F224:H224)/3</f>
        <v>0.333333333333333</v>
      </c>
      <c r="J224" s="104"/>
      <c r="K224" s="104"/>
      <c r="R224" s="34"/>
      <c r="AN224" s="29" t="n">
        <f aca="false">3/1*I224</f>
        <v>1</v>
      </c>
      <c r="BD224" s="146" t="n">
        <f aca="false">400/1*I224</f>
        <v>133.333333333333</v>
      </c>
      <c r="BI224" s="146" t="n">
        <f aca="false">2/1*I224</f>
        <v>0.666666666666667</v>
      </c>
      <c r="BJ224" s="115"/>
      <c r="CX224" s="35"/>
      <c r="EP224" s="29" t="n">
        <f aca="false">15/1*I224</f>
        <v>5</v>
      </c>
      <c r="EU224" s="146" t="n">
        <f aca="false">250/1*I224</f>
        <v>83.3333333333333</v>
      </c>
      <c r="GB224" s="34"/>
      <c r="GC224" s="116"/>
      <c r="GD224" s="116"/>
      <c r="GE224" s="116"/>
      <c r="GF224" s="116"/>
      <c r="GG224" s="116"/>
      <c r="GH224" s="116"/>
      <c r="GJ224" s="1"/>
      <c r="HI224" s="34"/>
      <c r="HN224" s="34"/>
      <c r="HZ224" s="29" t="n">
        <f aca="false">1.5/1*I224</f>
        <v>0.5</v>
      </c>
      <c r="AMI224" s="0"/>
      <c r="AMJ224" s="0"/>
    </row>
    <row collapsed="false" customFormat="true" customHeight="true" hidden="false" ht="12.75" outlineLevel="0" r="225" s="4">
      <c r="A225" s="124" t="s">
        <v>519</v>
      </c>
      <c r="B225" s="124"/>
      <c r="C225" s="95" t="n">
        <v>717</v>
      </c>
      <c r="D225" s="125" t="s">
        <v>338</v>
      </c>
      <c r="E225" s="125"/>
      <c r="F225" s="258" t="n">
        <f aca="false">2/9*3</f>
        <v>0.666666666666667</v>
      </c>
      <c r="G225" s="126" t="n">
        <v>0</v>
      </c>
      <c r="H225" s="126" t="n">
        <v>0</v>
      </c>
      <c r="I225" s="108" t="n">
        <f aca="false">SUM(F225:H225)/3</f>
        <v>0.222222222222222</v>
      </c>
      <c r="J225" s="104"/>
      <c r="K225" s="104"/>
      <c r="R225" s="34"/>
      <c r="AN225" s="127" t="n">
        <f aca="false">3/1*I225</f>
        <v>0.666666666666667</v>
      </c>
      <c r="BD225" s="127" t="n">
        <f aca="false">400/1*I225</f>
        <v>88.8888888888889</v>
      </c>
      <c r="BE225" s="188"/>
      <c r="BF225" s="188"/>
      <c r="BG225" s="188"/>
      <c r="BH225" s="188"/>
      <c r="BI225" s="127" t="n">
        <f aca="false">2/1*I225</f>
        <v>0.444444444444444</v>
      </c>
      <c r="BJ225" s="115"/>
      <c r="CX225" s="35"/>
      <c r="EP225" s="127" t="n">
        <f aca="false">15/1*I225</f>
        <v>3.33333333333333</v>
      </c>
      <c r="EU225" s="127" t="n">
        <f aca="false">250/1*I225</f>
        <v>55.5555555555556</v>
      </c>
      <c r="EV225" s="188"/>
      <c r="EW225" s="188"/>
      <c r="EX225" s="188"/>
      <c r="GB225" s="34"/>
      <c r="GC225" s="116"/>
      <c r="GD225" s="116"/>
      <c r="GE225" s="116"/>
      <c r="GF225" s="116"/>
      <c r="GG225" s="116"/>
      <c r="GH225" s="116"/>
      <c r="GJ225" s="1"/>
      <c r="HI225" s="34"/>
      <c r="HN225" s="34"/>
      <c r="HZ225" s="127" t="n">
        <f aca="false">1.5/1*I225</f>
        <v>0.333333333333333</v>
      </c>
      <c r="AMI225" s="0"/>
      <c r="AMJ225" s="0"/>
    </row>
    <row collapsed="false" customFormat="false" customHeight="true" hidden="false" ht="12.75" outlineLevel="0" r="226">
      <c r="A226" s="133" t="s">
        <v>520</v>
      </c>
      <c r="B226" s="133"/>
      <c r="C226" s="134" t="n">
        <v>915</v>
      </c>
      <c r="D226" s="135" t="s">
        <v>521</v>
      </c>
      <c r="E226" s="135"/>
      <c r="F226" s="136" t="n">
        <v>1</v>
      </c>
      <c r="G226" s="136" t="n">
        <f aca="false">2</f>
        <v>2</v>
      </c>
      <c r="H226" s="136" t="n">
        <v>0</v>
      </c>
      <c r="I226" s="102" t="n">
        <f aca="false">SUM(F226:H226)/3</f>
        <v>1</v>
      </c>
      <c r="J226" s="104"/>
      <c r="K226" s="104"/>
      <c r="JL226" s="259" t="n">
        <f aca="false">30*I226</f>
        <v>30</v>
      </c>
    </row>
    <row collapsed="false" customFormat="false" customHeight="true" hidden="false" ht="12.75" outlineLevel="0" r="227">
      <c r="A227" s="124" t="s">
        <v>520</v>
      </c>
      <c r="B227" s="124"/>
      <c r="C227" s="95" t="n">
        <v>915</v>
      </c>
      <c r="D227" s="125" t="s">
        <v>521</v>
      </c>
      <c r="E227" s="125"/>
      <c r="F227" s="126" t="n">
        <v>0</v>
      </c>
      <c r="G227" s="126" t="n">
        <v>2</v>
      </c>
      <c r="H227" s="126" t="n">
        <v>0</v>
      </c>
      <c r="I227" s="108" t="n">
        <f aca="false">SUM(F227:H227)/3</f>
        <v>0.666666666666667</v>
      </c>
      <c r="J227" s="104"/>
      <c r="K227" s="104"/>
      <c r="JL227" s="255" t="n">
        <f aca="false">30*I227</f>
        <v>20</v>
      </c>
    </row>
    <row collapsed="false" customFormat="true" customHeight="true" hidden="false" ht="12.75" outlineLevel="0" r="228" s="4">
      <c r="A228" s="110" t="s">
        <v>522</v>
      </c>
      <c r="B228" s="110"/>
      <c r="C228" s="111" t="n">
        <v>1032</v>
      </c>
      <c r="D228" s="112" t="s">
        <v>523</v>
      </c>
      <c r="E228" s="112"/>
      <c r="F228" s="113" t="n">
        <v>2</v>
      </c>
      <c r="G228" s="113" t="n">
        <f aca="false">2</f>
        <v>2</v>
      </c>
      <c r="H228" s="113" t="n">
        <v>0</v>
      </c>
      <c r="I228" s="114" t="n">
        <f aca="false">SUM(F228:H228)/3</f>
        <v>1.33333333333333</v>
      </c>
      <c r="J228" s="104"/>
      <c r="K228" s="104"/>
      <c r="R228" s="34"/>
      <c r="CX228" s="35"/>
      <c r="DC228" s="4" t="n">
        <f aca="false">200*8*$I228</f>
        <v>2133.33333333333</v>
      </c>
      <c r="GB228" s="34"/>
      <c r="GC228" s="116"/>
      <c r="GD228" s="116"/>
      <c r="GE228" s="116"/>
      <c r="GF228" s="116"/>
      <c r="GG228" s="116"/>
      <c r="GH228" s="116"/>
      <c r="GJ228" s="1"/>
      <c r="HI228" s="34"/>
      <c r="HN228" s="34"/>
      <c r="AMI228" s="0"/>
      <c r="AMJ228" s="0"/>
    </row>
    <row collapsed="false" customFormat="true" customHeight="true" hidden="false" ht="12.75" outlineLevel="0" r="229" s="173">
      <c r="A229" s="167" t="s">
        <v>524</v>
      </c>
      <c r="B229" s="167"/>
      <c r="C229" s="168" t="n">
        <v>26115</v>
      </c>
      <c r="D229" s="169" t="s">
        <v>525</v>
      </c>
      <c r="E229" s="169"/>
      <c r="F229" s="170" t="n">
        <v>0</v>
      </c>
      <c r="G229" s="170" t="n">
        <v>0</v>
      </c>
      <c r="H229" s="170" t="n">
        <v>0</v>
      </c>
      <c r="I229" s="171" t="n">
        <f aca="false">SUM(F229:H229)/3</f>
        <v>0</v>
      </c>
      <c r="J229" s="185"/>
      <c r="K229" s="185"/>
      <c r="R229" s="174"/>
      <c r="CX229" s="175"/>
      <c r="GB229" s="174"/>
      <c r="GC229" s="176"/>
      <c r="GD229" s="176"/>
      <c r="GE229" s="176"/>
      <c r="GF229" s="176"/>
      <c r="GG229" s="176"/>
      <c r="GH229" s="176"/>
      <c r="HI229" s="174"/>
      <c r="HN229" s="174"/>
      <c r="IH229" s="177" t="n">
        <f aca="false">25*0</f>
        <v>0</v>
      </c>
      <c r="AMI229" s="178"/>
      <c r="AMJ229" s="178"/>
    </row>
    <row collapsed="false" customFormat="true" customHeight="true" hidden="false" ht="12.75" outlineLevel="0" r="230" s="173">
      <c r="A230" s="167" t="s">
        <v>524</v>
      </c>
      <c r="B230" s="167"/>
      <c r="C230" s="168" t="n">
        <v>26115</v>
      </c>
      <c r="D230" s="169" t="s">
        <v>525</v>
      </c>
      <c r="E230" s="169"/>
      <c r="F230" s="170" t="n">
        <v>0</v>
      </c>
      <c r="G230" s="170" t="n">
        <v>0</v>
      </c>
      <c r="H230" s="170" t="n">
        <v>0</v>
      </c>
      <c r="I230" s="171" t="n">
        <f aca="false">SUM(F230:H230)/3</f>
        <v>0</v>
      </c>
      <c r="J230" s="185"/>
      <c r="K230" s="185"/>
      <c r="R230" s="174"/>
      <c r="CX230" s="175"/>
      <c r="GB230" s="174"/>
      <c r="GC230" s="176"/>
      <c r="GD230" s="176"/>
      <c r="GE230" s="176"/>
      <c r="GF230" s="176"/>
      <c r="GG230" s="176"/>
      <c r="GH230" s="176"/>
      <c r="HI230" s="174"/>
      <c r="HN230" s="174"/>
      <c r="IH230" s="177" t="n">
        <f aca="false">25*0</f>
        <v>0</v>
      </c>
      <c r="AMI230" s="178"/>
      <c r="AMJ230" s="178"/>
    </row>
    <row collapsed="false" customFormat="true" customHeight="true" hidden="false" ht="12.75" outlineLevel="0" r="231" s="4">
      <c r="A231" s="110" t="s">
        <v>526</v>
      </c>
      <c r="B231" s="110"/>
      <c r="C231" s="111" t="n">
        <v>26213</v>
      </c>
      <c r="D231" s="112" t="s">
        <v>527</v>
      </c>
      <c r="E231" s="112"/>
      <c r="F231" s="113" t="n">
        <f aca="false">1*2</f>
        <v>2</v>
      </c>
      <c r="G231" s="113" t="n">
        <v>0</v>
      </c>
      <c r="H231" s="113" t="n">
        <v>0</v>
      </c>
      <c r="I231" s="114" t="n">
        <f aca="false">SUM(F231:H231)/3</f>
        <v>0.666666666666667</v>
      </c>
      <c r="J231" s="104"/>
      <c r="K231" s="104"/>
      <c r="R231" s="34"/>
      <c r="CX231" s="35"/>
      <c r="GB231" s="34"/>
      <c r="GC231" s="116"/>
      <c r="GD231" s="116"/>
      <c r="GE231" s="116"/>
      <c r="GF231" s="116"/>
      <c r="GG231" s="116"/>
      <c r="GH231" s="116"/>
      <c r="HI231" s="34"/>
      <c r="HN231" s="34"/>
      <c r="IH231" s="115" t="n">
        <f aca="false">450*$I231</f>
        <v>300</v>
      </c>
      <c r="AMI231" s="182"/>
      <c r="AMJ231" s="182"/>
    </row>
    <row collapsed="false" customFormat="false" customHeight="true" hidden="false" ht="12.75" outlineLevel="0" r="232">
      <c r="A232" s="128" t="s">
        <v>528</v>
      </c>
      <c r="B232" s="128"/>
      <c r="C232" s="91" t="n">
        <v>98</v>
      </c>
      <c r="D232" s="129" t="s">
        <v>529</v>
      </c>
      <c r="E232" s="129"/>
      <c r="F232" s="130" t="n">
        <v>0</v>
      </c>
      <c r="G232" s="130" t="n">
        <f aca="false">2*2</f>
        <v>4</v>
      </c>
      <c r="H232" s="130" t="n">
        <v>0</v>
      </c>
      <c r="I232" s="131" t="n">
        <f aca="false">SUM(F232:H232)/3</f>
        <v>1.33333333333333</v>
      </c>
      <c r="J232" s="137"/>
      <c r="K232" s="137"/>
      <c r="AQ232" s="29" t="n">
        <f aca="false">50*I232</f>
        <v>66.6666666666667</v>
      </c>
      <c r="II232" s="181" t="n">
        <f aca="false">500*I232</f>
        <v>666.666666666667</v>
      </c>
    </row>
    <row collapsed="false" customFormat="false" customHeight="true" hidden="false" ht="12.75" outlineLevel="0" r="233">
      <c r="A233" s="124" t="s">
        <v>528</v>
      </c>
      <c r="B233" s="124"/>
      <c r="C233" s="95" t="n">
        <v>98</v>
      </c>
      <c r="D233" s="125" t="s">
        <v>529</v>
      </c>
      <c r="E233" s="125"/>
      <c r="F233" s="126" t="n">
        <v>0</v>
      </c>
      <c r="G233" s="126" t="n">
        <v>2</v>
      </c>
      <c r="H233" s="126" t="n">
        <v>0</v>
      </c>
      <c r="I233" s="108" t="n">
        <f aca="false">SUM(F233:H233)/3</f>
        <v>0.666666666666667</v>
      </c>
      <c r="J233" s="137"/>
      <c r="K233" s="137"/>
      <c r="AQ233" s="127" t="n">
        <f aca="false">50*I250</f>
        <v>66.6666666666667</v>
      </c>
      <c r="II233" s="127" t="n">
        <f aca="false">500*I250</f>
        <v>666.666666666667</v>
      </c>
    </row>
    <row collapsed="false" customFormat="false" customHeight="true" hidden="false" ht="12.75" outlineLevel="0" r="234">
      <c r="A234" s="138" t="s">
        <v>530</v>
      </c>
      <c r="B234" s="138"/>
      <c r="C234" s="80" t="n">
        <v>1323</v>
      </c>
      <c r="D234" s="139" t="s">
        <v>336</v>
      </c>
      <c r="E234" s="139"/>
      <c r="F234" s="140" t="n">
        <v>2</v>
      </c>
      <c r="G234" s="140" t="n">
        <v>2</v>
      </c>
      <c r="H234" s="140" t="n">
        <v>0</v>
      </c>
      <c r="I234" s="114" t="n">
        <f aca="false">SUM(F234:H234)/3</f>
        <v>1.33333333333333</v>
      </c>
      <c r="J234" s="137"/>
      <c r="K234" s="137"/>
      <c r="AV234" s="51" t="n">
        <f aca="false">(58+161)/(75+58+161+36.5)*500*I234</f>
        <v>441.754916792738</v>
      </c>
      <c r="DL234" s="51" t="n">
        <f aca="false">75/(75+58+161+36.5)*500*I234</f>
        <v>151.285930408472</v>
      </c>
      <c r="DM234" s="51" t="n">
        <f aca="false">500*I234</f>
        <v>666.666666666667</v>
      </c>
      <c r="FK234" s="51" t="n">
        <f aca="false">100*I234</f>
        <v>133.333333333333</v>
      </c>
      <c r="FL234" s="51"/>
    </row>
    <row collapsed="false" customFormat="false" customHeight="true" hidden="false" ht="12.75" outlineLevel="0" r="235">
      <c r="A235" s="141" t="s">
        <v>531</v>
      </c>
      <c r="B235" s="141"/>
      <c r="C235" s="179" t="n">
        <v>368</v>
      </c>
      <c r="D235" s="143" t="s">
        <v>370</v>
      </c>
      <c r="E235" s="143"/>
      <c r="F235" s="144" t="n">
        <v>0</v>
      </c>
      <c r="G235" s="144" t="n">
        <v>2</v>
      </c>
      <c r="H235" s="144" t="n">
        <v>3</v>
      </c>
      <c r="I235" s="102" t="n">
        <f aca="false">SUM(F235:H235)/3</f>
        <v>1.66666666666667</v>
      </c>
      <c r="J235" s="137"/>
      <c r="K235" s="137"/>
      <c r="FN235" s="145" t="n">
        <f aca="false">4*I235</f>
        <v>6.66666666666667</v>
      </c>
      <c r="FO235" s="145" t="n">
        <f aca="false">1*I235</f>
        <v>1.66666666666667</v>
      </c>
      <c r="FR235" s="145" t="n">
        <f aca="false">100*I235</f>
        <v>166.666666666667</v>
      </c>
    </row>
    <row collapsed="false" customFormat="false" customHeight="true" hidden="false" ht="12.75" outlineLevel="0" r="236">
      <c r="A236" s="124" t="s">
        <v>531</v>
      </c>
      <c r="B236" s="124"/>
      <c r="C236" s="95" t="n">
        <v>368</v>
      </c>
      <c r="D236" s="125" t="s">
        <v>370</v>
      </c>
      <c r="E236" s="125"/>
      <c r="F236" s="126" t="n">
        <v>0</v>
      </c>
      <c r="G236" s="126" t="n">
        <v>2</v>
      </c>
      <c r="H236" s="126" t="n">
        <v>3</v>
      </c>
      <c r="I236" s="108" t="n">
        <f aca="false">SUM(F236:H236)/3</f>
        <v>1.66666666666667</v>
      </c>
      <c r="J236" s="137"/>
      <c r="K236" s="137"/>
      <c r="FN236" s="127" t="n">
        <f aca="false">4*I236</f>
        <v>6.66666666666667</v>
      </c>
      <c r="FO236" s="127" t="n">
        <f aca="false">1*I236</f>
        <v>1.66666666666667</v>
      </c>
      <c r="FR236" s="127" t="n">
        <f aca="false">100*I236</f>
        <v>166.666666666667</v>
      </c>
    </row>
    <row collapsed="false" customFormat="true" customHeight="true" hidden="false" ht="12.75" outlineLevel="0" r="237" s="4">
      <c r="A237" s="110" t="s">
        <v>532</v>
      </c>
      <c r="B237" s="110"/>
      <c r="C237" s="111" t="n">
        <v>1423</v>
      </c>
      <c r="D237" s="112" t="s">
        <v>518</v>
      </c>
      <c r="E237" s="112"/>
      <c r="F237" s="113" t="n">
        <v>0</v>
      </c>
      <c r="G237" s="113" t="n">
        <v>2</v>
      </c>
      <c r="H237" s="113" t="n">
        <v>0</v>
      </c>
      <c r="I237" s="114" t="n">
        <f aca="false">SUM(F237:H237)/3</f>
        <v>0.666666666666667</v>
      </c>
      <c r="J237" s="104"/>
      <c r="K237" s="104"/>
      <c r="R237" s="34"/>
      <c r="CX237" s="35"/>
      <c r="GB237" s="34"/>
      <c r="GC237" s="116"/>
      <c r="GD237" s="116"/>
      <c r="GE237" s="116"/>
      <c r="GF237" s="116"/>
      <c r="GG237" s="116" t="n">
        <f aca="false">0.3*400*I237</f>
        <v>80</v>
      </c>
      <c r="GH237" s="116" t="n">
        <f aca="false">0.22*137.5*I237</f>
        <v>20.1666666666667</v>
      </c>
      <c r="GJ237" s="1"/>
      <c r="HI237" s="34"/>
      <c r="HN237" s="34"/>
      <c r="AMI237" s="0"/>
      <c r="AMJ237" s="0"/>
    </row>
    <row collapsed="false" customFormat="true" customHeight="true" hidden="false" ht="12.75" outlineLevel="0" r="238" s="1">
      <c r="A238" s="128" t="s">
        <v>533</v>
      </c>
      <c r="B238" s="128"/>
      <c r="C238" s="91" t="n">
        <v>1500</v>
      </c>
      <c r="D238" s="129" t="s">
        <v>534</v>
      </c>
      <c r="E238" s="129"/>
      <c r="F238" s="130" t="n">
        <v>2</v>
      </c>
      <c r="G238" s="130" t="n">
        <v>2</v>
      </c>
      <c r="H238" s="130" t="n">
        <v>0</v>
      </c>
      <c r="I238" s="237" t="n">
        <f aca="false">SUM(F238:H238)/3</f>
        <v>1.33333333333333</v>
      </c>
      <c r="J238" s="137"/>
      <c r="K238" s="137"/>
      <c r="R238" s="3"/>
      <c r="CX238" s="5"/>
      <c r="GB238" s="3"/>
      <c r="GC238" s="2"/>
      <c r="GD238" s="2"/>
      <c r="GE238" s="2"/>
      <c r="GF238" s="2"/>
      <c r="GG238" s="2"/>
      <c r="GH238" s="2"/>
      <c r="GJ238" s="132" t="n">
        <f aca="false">10*$I238</f>
        <v>13.3333333333333</v>
      </c>
      <c r="HI238" s="3"/>
      <c r="HN238" s="3"/>
    </row>
    <row collapsed="false" customFormat="true" customHeight="true" hidden="false" ht="12.75" outlineLevel="0" r="239" s="1">
      <c r="A239" s="124" t="s">
        <v>533</v>
      </c>
      <c r="B239" s="124"/>
      <c r="C239" s="95" t="n">
        <v>1500</v>
      </c>
      <c r="D239" s="125" t="s">
        <v>534</v>
      </c>
      <c r="E239" s="125"/>
      <c r="F239" s="126" t="n">
        <v>0</v>
      </c>
      <c r="G239" s="126" t="n">
        <v>0</v>
      </c>
      <c r="H239" s="126" t="n">
        <v>3</v>
      </c>
      <c r="I239" s="108" t="n">
        <f aca="false">SUM(F239:H239)/3</f>
        <v>1</v>
      </c>
      <c r="J239" s="137"/>
      <c r="K239" s="137"/>
      <c r="R239" s="3"/>
      <c r="CX239" s="5"/>
      <c r="GB239" s="3"/>
      <c r="GC239" s="2"/>
      <c r="GD239" s="2"/>
      <c r="GE239" s="2"/>
      <c r="GF239" s="2"/>
      <c r="GG239" s="2"/>
      <c r="GH239" s="2"/>
      <c r="GJ239" s="36" t="n">
        <f aca="false">10*$I239</f>
        <v>10</v>
      </c>
      <c r="HI239" s="3"/>
      <c r="HN239" s="3"/>
    </row>
    <row collapsed="false" customFormat="false" customHeight="true" hidden="false" ht="12.75" outlineLevel="0" r="240">
      <c r="A240" s="141" t="s">
        <v>535</v>
      </c>
      <c r="B240" s="141"/>
      <c r="C240" s="179" t="n">
        <v>302</v>
      </c>
      <c r="D240" s="143" t="s">
        <v>536</v>
      </c>
      <c r="E240" s="143"/>
      <c r="F240" s="136" t="n">
        <v>2</v>
      </c>
      <c r="G240" s="136" t="n">
        <v>0</v>
      </c>
      <c r="H240" s="136" t="n">
        <f aca="false">2*3</f>
        <v>6</v>
      </c>
      <c r="I240" s="102" t="n">
        <f aca="false">SUM(F240:H240)/3</f>
        <v>2.66666666666667</v>
      </c>
      <c r="J240" s="137"/>
      <c r="K240" s="137"/>
      <c r="GA240" s="145" t="n">
        <f aca="false">50*I240</f>
        <v>133.333333333333</v>
      </c>
    </row>
    <row collapsed="false" customFormat="false" customHeight="true" hidden="false" ht="12.75" outlineLevel="0" r="241">
      <c r="A241" s="124" t="s">
        <v>535</v>
      </c>
      <c r="B241" s="124"/>
      <c r="C241" s="95" t="n">
        <v>302</v>
      </c>
      <c r="D241" s="125" t="s">
        <v>536</v>
      </c>
      <c r="E241" s="125"/>
      <c r="F241" s="126" t="n">
        <v>2</v>
      </c>
      <c r="G241" s="126" t="n">
        <v>0</v>
      </c>
      <c r="H241" s="126" t="n">
        <v>3</v>
      </c>
      <c r="I241" s="108" t="n">
        <f aca="false">1+1*2/3</f>
        <v>1.66666666666667</v>
      </c>
      <c r="J241" s="137"/>
      <c r="K241" s="137"/>
      <c r="GA241" s="127" t="n">
        <f aca="false">50*I241</f>
        <v>83.3333333333333</v>
      </c>
    </row>
    <row collapsed="false" customFormat="true" customHeight="true" hidden="false" ht="12.75" outlineLevel="0" r="242" s="4">
      <c r="A242" s="133" t="s">
        <v>537</v>
      </c>
      <c r="B242" s="133"/>
      <c r="C242" s="134" t="n">
        <v>1373</v>
      </c>
      <c r="D242" s="135" t="s">
        <v>408</v>
      </c>
      <c r="E242" s="135"/>
      <c r="F242" s="136" t="n">
        <v>0</v>
      </c>
      <c r="G242" s="136" t="n">
        <v>2</v>
      </c>
      <c r="H242" s="136" t="n">
        <v>3</v>
      </c>
      <c r="I242" s="102" t="n">
        <f aca="false">SUM(F242:H242)/3</f>
        <v>1.66666666666667</v>
      </c>
      <c r="J242" s="104"/>
      <c r="K242" s="104"/>
      <c r="R242" s="34"/>
      <c r="CK242" s="29" t="n">
        <f aca="false">50*I242</f>
        <v>83.3333333333333</v>
      </c>
      <c r="CX242" s="35"/>
      <c r="GB242" s="34"/>
      <c r="GC242" s="116"/>
      <c r="GD242" s="116"/>
      <c r="GE242" s="116"/>
      <c r="GF242" s="116"/>
      <c r="GG242" s="116"/>
      <c r="GH242" s="116"/>
      <c r="GJ242" s="1"/>
      <c r="HI242" s="34"/>
      <c r="HN242" s="34"/>
      <c r="AMI242" s="0"/>
      <c r="AMJ242" s="0"/>
    </row>
    <row collapsed="false" customFormat="false" customHeight="true" hidden="false" ht="12.75" outlineLevel="0" r="243">
      <c r="A243" s="141" t="s">
        <v>538</v>
      </c>
      <c r="B243" s="141"/>
      <c r="C243" s="179" t="n">
        <v>1019</v>
      </c>
      <c r="D243" s="143" t="s">
        <v>539</v>
      </c>
      <c r="E243" s="143"/>
      <c r="F243" s="144" t="n">
        <v>2</v>
      </c>
      <c r="G243" s="144" t="n">
        <v>0</v>
      </c>
      <c r="H243" s="144" t="n">
        <v>0</v>
      </c>
      <c r="I243" s="102" t="n">
        <f aca="false">SUM(F243:H243)/3</f>
        <v>0.666666666666667</v>
      </c>
      <c r="J243" s="137"/>
      <c r="K243" s="137"/>
      <c r="AQ243" s="146" t="n">
        <f aca="false">38*$I243</f>
        <v>25.3333333333333</v>
      </c>
      <c r="GJ243" s="0"/>
    </row>
    <row collapsed="false" customFormat="false" customHeight="true" hidden="false" ht="12.75" outlineLevel="0" r="244">
      <c r="A244" s="124" t="s">
        <v>538</v>
      </c>
      <c r="B244" s="124"/>
      <c r="C244" s="95" t="n">
        <v>1019</v>
      </c>
      <c r="D244" s="125" t="s">
        <v>540</v>
      </c>
      <c r="E244" s="125"/>
      <c r="F244" s="126" t="n">
        <v>2</v>
      </c>
      <c r="G244" s="126" t="n">
        <v>0</v>
      </c>
      <c r="H244" s="126" t="n">
        <v>0</v>
      </c>
      <c r="I244" s="108" t="n">
        <f aca="false">SUM(F244:H244)/3</f>
        <v>0.666666666666667</v>
      </c>
      <c r="J244" s="137"/>
      <c r="K244" s="137"/>
      <c r="AQ244" s="127" t="n">
        <f aca="false">38*$I244</f>
        <v>25.3333333333333</v>
      </c>
      <c r="GJ244" s="0"/>
    </row>
    <row collapsed="false" customFormat="true" customHeight="true" hidden="false" ht="12.75" outlineLevel="0" r="245" s="182">
      <c r="A245" s="128" t="s">
        <v>541</v>
      </c>
      <c r="B245" s="128"/>
      <c r="C245" s="91" t="n">
        <v>13327</v>
      </c>
      <c r="D245" s="129" t="s">
        <v>542</v>
      </c>
      <c r="E245" s="129"/>
      <c r="F245" s="130" t="n">
        <v>0</v>
      </c>
      <c r="G245" s="130" t="n">
        <f aca="false">(8.8*1.2)*2</f>
        <v>21.12</v>
      </c>
      <c r="H245" s="130" t="n">
        <v>0</v>
      </c>
      <c r="I245" s="131" t="n">
        <f aca="false">SUM(F245:H245)/3</f>
        <v>7.04</v>
      </c>
      <c r="J245" s="104"/>
      <c r="K245" s="104"/>
      <c r="L245" s="183" t="n">
        <f aca="false">200/8.8*I245</f>
        <v>160</v>
      </c>
      <c r="M245" s="4"/>
      <c r="N245" s="4"/>
      <c r="O245" s="4"/>
      <c r="P245" s="4"/>
      <c r="Q245" s="4"/>
      <c r="R245" s="34"/>
      <c r="S245" s="132" t="n">
        <f aca="false">0.25*20/8.8*I245</f>
        <v>4</v>
      </c>
      <c r="T245" s="4"/>
      <c r="U245" s="4"/>
      <c r="V245" s="4"/>
      <c r="W245" s="4"/>
      <c r="X245" s="4"/>
      <c r="Y245" s="4"/>
      <c r="Z245" s="4"/>
      <c r="AA245" s="4"/>
      <c r="AB245" s="132" t="s">
        <v>297</v>
      </c>
      <c r="AC245" s="4"/>
      <c r="AD245" s="4"/>
      <c r="AE245" s="4"/>
      <c r="AF245" s="4"/>
      <c r="AG245" s="4"/>
      <c r="AH245" s="132" t="n">
        <f aca="false">670/8.8*I245</f>
        <v>536</v>
      </c>
      <c r="AI245" s="4"/>
      <c r="AJ245" s="4"/>
      <c r="AK245" s="4"/>
      <c r="AL245" s="4"/>
      <c r="AM245" s="4"/>
      <c r="AN245" s="4"/>
      <c r="AO245" s="4"/>
      <c r="AP245" s="4"/>
      <c r="AQ245" s="148" t="n">
        <f aca="false">29/8.8*I245</f>
        <v>23.2</v>
      </c>
      <c r="AR245" s="4"/>
      <c r="AS245" s="4"/>
      <c r="AT245" s="4"/>
      <c r="AU245" s="4"/>
      <c r="AV245" s="4"/>
      <c r="AW245" s="4"/>
      <c r="AX245" s="4"/>
      <c r="AY245" s="132" t="n">
        <f aca="false">0.6*20/8.8*I245</f>
        <v>9.6</v>
      </c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132" t="n">
        <f aca="false">60/8.8*I245</f>
        <v>48</v>
      </c>
      <c r="CE245" s="4"/>
      <c r="CF245" s="4"/>
      <c r="CG245" s="132" t="n">
        <f aca="false">60/8.8*I245</f>
        <v>48</v>
      </c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35"/>
      <c r="CY245" s="4"/>
      <c r="CZ245" s="4"/>
      <c r="DA245" s="4"/>
      <c r="DB245" s="183" t="n">
        <f aca="false">20/8.8*I245</f>
        <v>16</v>
      </c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132" t="n">
        <f aca="false">1.8/8.8*I245</f>
        <v>1.44</v>
      </c>
      <c r="EA245" s="4"/>
      <c r="EB245" s="4"/>
      <c r="EC245" s="4"/>
      <c r="ED245" s="4"/>
      <c r="EE245" s="4"/>
      <c r="EF245" s="183" t="n">
        <f aca="false">100/8.8*I245</f>
        <v>80</v>
      </c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183" t="n">
        <f aca="false">0.92*20/8.8*$I245</f>
        <v>14.72</v>
      </c>
      <c r="GC245" s="116"/>
      <c r="GD245" s="116"/>
      <c r="GE245" s="116"/>
      <c r="GF245" s="116"/>
      <c r="GG245" s="116"/>
      <c r="GH245" s="116"/>
      <c r="GI245" s="4"/>
      <c r="GJ245" s="1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183" t="n">
        <f aca="false">0.8*60/8.8*I245</f>
        <v>38.4</v>
      </c>
      <c r="HJ245" s="4"/>
      <c r="HK245" s="4"/>
      <c r="HL245" s="4"/>
      <c r="HM245" s="4"/>
      <c r="HN245" s="3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183" t="n">
        <f aca="false">16/8.8*I245</f>
        <v>12.8</v>
      </c>
      <c r="IR245" s="4"/>
      <c r="IS245" s="4"/>
      <c r="IT245" s="132" t="n">
        <f aca="false">100/8.8*I245</f>
        <v>80</v>
      </c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AMI245" s="0"/>
      <c r="AMJ245" s="0"/>
    </row>
    <row collapsed="false" customFormat="true" customHeight="true" hidden="false" ht="12.75" outlineLevel="0" r="246" s="182">
      <c r="A246" s="124" t="s">
        <v>541</v>
      </c>
      <c r="B246" s="124"/>
      <c r="C246" s="95" t="n">
        <v>13327</v>
      </c>
      <c r="D246" s="125" t="s">
        <v>542</v>
      </c>
      <c r="E246" s="125"/>
      <c r="F246" s="126" t="n">
        <v>0</v>
      </c>
      <c r="G246" s="126" t="n">
        <f aca="false">(8.8*0.8)*2</f>
        <v>14.08</v>
      </c>
      <c r="H246" s="126" t="n">
        <v>0</v>
      </c>
      <c r="I246" s="108" t="n">
        <f aca="false">SUM(F246:H246)/3</f>
        <v>4.69333333333333</v>
      </c>
      <c r="J246" s="104"/>
      <c r="K246" s="104"/>
      <c r="L246" s="40" t="n">
        <f aca="false">200/8.8*I246</f>
        <v>106.666666666667</v>
      </c>
      <c r="M246" s="4"/>
      <c r="N246" s="4"/>
      <c r="O246" s="4"/>
      <c r="P246" s="4"/>
      <c r="Q246" s="4"/>
      <c r="R246" s="34"/>
      <c r="S246" s="36" t="n">
        <f aca="false">0.25*20/8.8*I246</f>
        <v>2.66666666666667</v>
      </c>
      <c r="T246" s="4"/>
      <c r="U246" s="4"/>
      <c r="V246" s="4"/>
      <c r="W246" s="4"/>
      <c r="X246" s="4"/>
      <c r="Y246" s="4"/>
      <c r="Z246" s="4"/>
      <c r="AA246" s="4"/>
      <c r="AB246" s="36" t="s">
        <v>297</v>
      </c>
      <c r="AC246" s="4"/>
      <c r="AD246" s="4"/>
      <c r="AE246" s="4"/>
      <c r="AF246" s="4"/>
      <c r="AG246" s="4"/>
      <c r="AH246" s="40" t="n">
        <f aca="false">670/8.8*I246</f>
        <v>357.333333333333</v>
      </c>
      <c r="AI246" s="4"/>
      <c r="AJ246" s="4"/>
      <c r="AK246" s="4"/>
      <c r="AL246" s="4"/>
      <c r="AM246" s="4"/>
      <c r="AN246" s="4"/>
      <c r="AO246" s="4"/>
      <c r="AP246" s="4"/>
      <c r="AQ246" s="127" t="n">
        <f aca="false">29/8.8*I246</f>
        <v>15.4666666666667</v>
      </c>
      <c r="AR246" s="4"/>
      <c r="AS246" s="4"/>
      <c r="AT246" s="4"/>
      <c r="AU246" s="4"/>
      <c r="AV246" s="4"/>
      <c r="AW246" s="4"/>
      <c r="AX246" s="4"/>
      <c r="AY246" s="36" t="n">
        <f aca="false">0.6*20/8.8*I246</f>
        <v>6.4</v>
      </c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36" t="n">
        <f aca="false">60/8.8*I246</f>
        <v>32</v>
      </c>
      <c r="CE246" s="4"/>
      <c r="CF246" s="4"/>
      <c r="CG246" s="36" t="n">
        <f aca="false">60/8.8*I246</f>
        <v>32</v>
      </c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35"/>
      <c r="CY246" s="4"/>
      <c r="CZ246" s="4"/>
      <c r="DA246" s="4"/>
      <c r="DB246" s="40" t="n">
        <f aca="false">20/8.8*I246</f>
        <v>10.6666666666667</v>
      </c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36" t="n">
        <f aca="false">1.8/8.8*I246</f>
        <v>0.96</v>
      </c>
      <c r="EA246" s="4"/>
      <c r="EB246" s="4"/>
      <c r="EC246" s="4"/>
      <c r="ED246" s="4"/>
      <c r="EE246" s="4"/>
      <c r="EF246" s="40" t="n">
        <f aca="false">100/8.8*I246</f>
        <v>53.3333333333333</v>
      </c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0" t="n">
        <f aca="false">0.92*20/8.8*$I246</f>
        <v>9.81333333333333</v>
      </c>
      <c r="GC246" s="116"/>
      <c r="GD246" s="116"/>
      <c r="GE246" s="116"/>
      <c r="GF246" s="116"/>
      <c r="GG246" s="116"/>
      <c r="GH246" s="116"/>
      <c r="GI246" s="4"/>
      <c r="GJ246" s="1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0" t="n">
        <f aca="false">0.8*60/8.8*I246</f>
        <v>25.6</v>
      </c>
      <c r="HJ246" s="4"/>
      <c r="HK246" s="4"/>
      <c r="HL246" s="4"/>
      <c r="HM246" s="4"/>
      <c r="HN246" s="3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0" t="n">
        <f aca="false">16/8.8*I246</f>
        <v>8.53333333333334</v>
      </c>
      <c r="IR246" s="4"/>
      <c r="IS246" s="4"/>
      <c r="IT246" s="40" t="n">
        <f aca="false">100/8.8*I246</f>
        <v>53.3333333333333</v>
      </c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AMI246" s="0"/>
      <c r="AMJ246" s="0"/>
    </row>
    <row collapsed="false" customFormat="true" customHeight="true" hidden="false" ht="12.75" outlineLevel="0" r="247" s="4">
      <c r="A247" s="110" t="s">
        <v>543</v>
      </c>
      <c r="B247" s="110"/>
      <c r="C247" s="111" t="n">
        <v>12143</v>
      </c>
      <c r="D247" s="112" t="s">
        <v>544</v>
      </c>
      <c r="E247" s="112"/>
      <c r="F247" s="113" t="n">
        <v>0</v>
      </c>
      <c r="G247" s="113" t="n">
        <v>0</v>
      </c>
      <c r="H247" s="113" t="n">
        <v>3</v>
      </c>
      <c r="I247" s="114" t="n">
        <f aca="false">SUM(F247:H247)/3</f>
        <v>1</v>
      </c>
      <c r="J247" s="104"/>
      <c r="K247" s="104"/>
      <c r="R247" s="34"/>
      <c r="CX247" s="35"/>
      <c r="DB247" s="34"/>
      <c r="GB247" s="34"/>
      <c r="GC247" s="116"/>
      <c r="GD247" s="116" t="n">
        <f aca="false">500*$I247</f>
        <v>500</v>
      </c>
      <c r="GE247" s="116"/>
      <c r="GF247" s="116"/>
      <c r="GG247" s="116"/>
      <c r="GH247" s="116"/>
      <c r="GJ247" s="1"/>
      <c r="HI247" s="34"/>
      <c r="HN247" s="34"/>
      <c r="AMI247" s="0"/>
      <c r="AMJ247" s="0"/>
    </row>
    <row collapsed="false" customFormat="true" customHeight="true" hidden="false" ht="12.75" outlineLevel="0" r="248" s="4">
      <c r="A248" s="110" t="s">
        <v>545</v>
      </c>
      <c r="B248" s="110"/>
      <c r="C248" s="111" t="n">
        <v>1508</v>
      </c>
      <c r="D248" s="112" t="s">
        <v>296</v>
      </c>
      <c r="E248" s="112" t="n">
        <v>0</v>
      </c>
      <c r="F248" s="113" t="n">
        <v>0</v>
      </c>
      <c r="G248" s="113" t="n">
        <f aca="false">1*2</f>
        <v>2</v>
      </c>
      <c r="H248" s="113" t="n">
        <v>0</v>
      </c>
      <c r="I248" s="114" t="n">
        <f aca="false">SUM(F248:H248)/3</f>
        <v>0.666666666666667</v>
      </c>
      <c r="J248" s="104"/>
      <c r="K248" s="104"/>
      <c r="R248" s="34"/>
      <c r="CX248" s="35"/>
      <c r="DB248" s="34"/>
      <c r="GB248" s="34"/>
      <c r="GC248" s="116"/>
      <c r="GD248" s="116"/>
      <c r="GE248" s="116"/>
      <c r="GF248" s="116" t="n">
        <f aca="false">50*I248</f>
        <v>33.3333333333333</v>
      </c>
      <c r="GG248" s="116"/>
      <c r="GH248" s="116"/>
      <c r="GJ248" s="1"/>
      <c r="HI248" s="34"/>
      <c r="HN248" s="34"/>
      <c r="AMI248" s="0"/>
      <c r="AMJ248" s="0"/>
    </row>
    <row collapsed="false" customFormat="true" customHeight="true" hidden="false" ht="12.75" outlineLevel="0" r="249" s="4">
      <c r="A249" s="110" t="s">
        <v>546</v>
      </c>
      <c r="B249" s="110"/>
      <c r="C249" s="111" t="n">
        <v>1210</v>
      </c>
      <c r="D249" s="112" t="s">
        <v>296</v>
      </c>
      <c r="E249" s="112"/>
      <c r="F249" s="113" t="n">
        <v>2</v>
      </c>
      <c r="G249" s="113" t="n">
        <v>2</v>
      </c>
      <c r="H249" s="113" t="n">
        <v>0</v>
      </c>
      <c r="I249" s="114" t="n">
        <f aca="false">SUM(F249:H249)/3</f>
        <v>1.33333333333333</v>
      </c>
      <c r="J249" s="104"/>
      <c r="K249" s="104"/>
      <c r="R249" s="34"/>
      <c r="CO249" s="4" t="n">
        <f aca="false">0.4*312*$I249</f>
        <v>166.4</v>
      </c>
      <c r="CX249" s="35"/>
      <c r="GB249" s="34"/>
      <c r="GC249" s="116"/>
      <c r="GD249" s="116"/>
      <c r="GE249" s="116"/>
      <c r="GF249" s="116"/>
      <c r="GG249" s="116"/>
      <c r="GH249" s="116"/>
      <c r="GJ249" s="1"/>
      <c r="HI249" s="34"/>
      <c r="HN249" s="34"/>
      <c r="AMI249" s="0"/>
      <c r="AMJ249" s="0"/>
    </row>
    <row collapsed="false" customFormat="false" customHeight="true" hidden="false" ht="12.75" outlineLevel="0" r="250">
      <c r="A250" s="110" t="s">
        <v>547</v>
      </c>
      <c r="B250" s="110"/>
      <c r="C250" s="111" t="n">
        <v>1056</v>
      </c>
      <c r="D250" s="112" t="s">
        <v>529</v>
      </c>
      <c r="E250" s="112"/>
      <c r="F250" s="113" t="n">
        <v>0</v>
      </c>
      <c r="G250" s="113" t="n">
        <f aca="false">2*2</f>
        <v>4</v>
      </c>
      <c r="H250" s="113" t="n">
        <v>0</v>
      </c>
      <c r="I250" s="114" t="n">
        <f aca="false">SUM(F250:H250)/3</f>
        <v>1.33333333333333</v>
      </c>
      <c r="J250" s="104"/>
      <c r="K250" s="104"/>
      <c r="O250" s="51" t="n">
        <f aca="false">1550/2*I250</f>
        <v>1033.33333333333</v>
      </c>
      <c r="CE250" s="51" t="n">
        <f aca="false">0/2*I250</f>
        <v>0</v>
      </c>
    </row>
    <row collapsed="false" customFormat="false" customHeight="true" hidden="false" ht="12.75" outlineLevel="0" r="251">
      <c r="A251" s="110" t="s">
        <v>548</v>
      </c>
      <c r="B251" s="110"/>
      <c r="C251" s="111" t="n">
        <v>1031</v>
      </c>
      <c r="D251" s="112" t="s">
        <v>549</v>
      </c>
      <c r="E251" s="112"/>
      <c r="F251" s="113" t="n">
        <v>0</v>
      </c>
      <c r="G251" s="113" t="n">
        <v>2</v>
      </c>
      <c r="H251" s="113" t="n">
        <v>0</v>
      </c>
      <c r="I251" s="114" t="n">
        <f aca="false">SUM(F251:H251)/3</f>
        <v>0.666666666666667</v>
      </c>
      <c r="J251" s="104"/>
      <c r="K251" s="104"/>
      <c r="O251" s="51"/>
      <c r="CE251" s="51"/>
      <c r="FV251" s="51" t="n">
        <f aca="false">0.95*100*I156</f>
        <v>63.3333333333333</v>
      </c>
    </row>
    <row collapsed="false" customFormat="true" customHeight="true" hidden="false" ht="12.75" outlineLevel="0" r="252" s="4">
      <c r="A252" s="110" t="s">
        <v>550</v>
      </c>
      <c r="B252" s="110"/>
      <c r="C252" s="111" t="n">
        <v>1309</v>
      </c>
      <c r="D252" s="110" t="s">
        <v>551</v>
      </c>
      <c r="E252" s="110"/>
      <c r="F252" s="238" t="n">
        <v>0</v>
      </c>
      <c r="G252" s="238" t="n">
        <v>2</v>
      </c>
      <c r="H252" s="238" t="n">
        <v>0</v>
      </c>
      <c r="I252" s="114" t="n">
        <f aca="false">SUM(F252:H252)/3</f>
        <v>0.666666666666667</v>
      </c>
      <c r="J252" s="104"/>
      <c r="K252" s="104"/>
      <c r="R252" s="34"/>
      <c r="CX252" s="35"/>
      <c r="EW252" s="4" t="n">
        <f aca="false">150*$I252</f>
        <v>100</v>
      </c>
      <c r="GB252" s="34"/>
      <c r="GC252" s="116"/>
      <c r="GD252" s="116"/>
      <c r="GE252" s="116"/>
      <c r="GF252" s="116"/>
      <c r="GG252" s="116"/>
      <c r="GH252" s="116"/>
      <c r="GJ252" s="1"/>
      <c r="GL252" s="4" t="n">
        <f aca="false">250*$I252</f>
        <v>166.666666666667</v>
      </c>
      <c r="HI252" s="34"/>
      <c r="HN252" s="34"/>
      <c r="IR252" s="4" t="n">
        <f aca="false">30*$I252</f>
        <v>20</v>
      </c>
      <c r="AMI252" s="0"/>
      <c r="AMJ252" s="0"/>
    </row>
    <row collapsed="false" customFormat="false" customHeight="true" hidden="false" ht="12.75" outlineLevel="0" r="253">
      <c r="A253" s="133" t="s">
        <v>552</v>
      </c>
      <c r="B253" s="133"/>
      <c r="C253" s="134" t="n">
        <v>1208</v>
      </c>
      <c r="D253" s="135" t="s">
        <v>553</v>
      </c>
      <c r="E253" s="135"/>
      <c r="F253" s="136" t="n">
        <v>0</v>
      </c>
      <c r="G253" s="136" t="n">
        <v>2</v>
      </c>
      <c r="H253" s="136" t="n">
        <v>3</v>
      </c>
      <c r="I253" s="102" t="n">
        <f aca="false">SUM(F253:H253)/3</f>
        <v>1.66666666666667</v>
      </c>
      <c r="J253" s="137"/>
      <c r="K253" s="137"/>
      <c r="GM253" s="29" t="n">
        <f aca="false">210*I253</f>
        <v>350</v>
      </c>
    </row>
    <row collapsed="false" customFormat="false" customHeight="true" hidden="false" ht="12.75" outlineLevel="0" r="254">
      <c r="A254" s="124" t="s">
        <v>552</v>
      </c>
      <c r="B254" s="124"/>
      <c r="C254" s="95" t="n">
        <v>1208</v>
      </c>
      <c r="D254" s="125" t="s">
        <v>553</v>
      </c>
      <c r="E254" s="125"/>
      <c r="F254" s="126" t="n">
        <v>0</v>
      </c>
      <c r="G254" s="126" t="n">
        <v>2</v>
      </c>
      <c r="H254" s="126" t="n">
        <v>3</v>
      </c>
      <c r="I254" s="108" t="n">
        <f aca="false">SUM(F254:H254)/3</f>
        <v>1.66666666666667</v>
      </c>
      <c r="J254" s="137"/>
      <c r="K254" s="137"/>
      <c r="GM254" s="36" t="n">
        <f aca="false">210*I254</f>
        <v>350</v>
      </c>
    </row>
    <row collapsed="false" customFormat="false" customHeight="true" hidden="false" ht="12.75" outlineLevel="0" r="255">
      <c r="A255" s="110" t="s">
        <v>554</v>
      </c>
      <c r="B255" s="110"/>
      <c r="C255" s="111" t="n">
        <v>60</v>
      </c>
      <c r="D255" s="110" t="s">
        <v>555</v>
      </c>
      <c r="E255" s="110"/>
      <c r="F255" s="238" t="n">
        <v>0</v>
      </c>
      <c r="G255" s="238" t="n">
        <v>2</v>
      </c>
      <c r="H255" s="238" t="n">
        <v>0</v>
      </c>
      <c r="I255" s="114" t="n">
        <f aca="false">SUM(F255:H255)/3</f>
        <v>0.666666666666667</v>
      </c>
      <c r="J255" s="104"/>
      <c r="K255" s="104"/>
    </row>
    <row collapsed="false" customFormat="true" customHeight="true" hidden="false" ht="12.75" outlineLevel="0" r="256" s="4">
      <c r="A256" s="110" t="s">
        <v>556</v>
      </c>
      <c r="B256" s="110"/>
      <c r="C256" s="111" t="n">
        <v>605</v>
      </c>
      <c r="D256" s="110" t="s">
        <v>557</v>
      </c>
      <c r="E256" s="110"/>
      <c r="F256" s="238" t="n">
        <v>2</v>
      </c>
      <c r="G256" s="238" t="n">
        <v>0</v>
      </c>
      <c r="H256" s="238" t="n">
        <v>0</v>
      </c>
      <c r="I256" s="114" t="n">
        <f aca="false">SUM(F256:H256)/3</f>
        <v>0.666666666666667</v>
      </c>
      <c r="J256" s="104"/>
      <c r="K256" s="104"/>
      <c r="R256" s="34"/>
      <c r="CX256" s="35"/>
      <c r="GB256" s="34"/>
      <c r="GC256" s="116"/>
      <c r="GD256" s="116"/>
      <c r="GE256" s="116"/>
      <c r="GF256" s="116"/>
      <c r="GG256" s="116"/>
      <c r="GH256" s="116"/>
      <c r="GJ256" s="1"/>
      <c r="HI256" s="34"/>
      <c r="HN256" s="34"/>
      <c r="AMI256" s="0"/>
      <c r="AMJ256" s="0"/>
    </row>
    <row collapsed="false" customFormat="true" customHeight="true" hidden="false" ht="12.75" outlineLevel="0" r="257" s="4">
      <c r="A257" s="110" t="s">
        <v>558</v>
      </c>
      <c r="B257" s="110"/>
      <c r="C257" s="111" t="n">
        <v>12783</v>
      </c>
      <c r="D257" s="110" t="s">
        <v>559</v>
      </c>
      <c r="E257" s="110" t="n">
        <v>0</v>
      </c>
      <c r="F257" s="238" t="n">
        <v>0</v>
      </c>
      <c r="G257" s="238" t="n">
        <f aca="false">1*2</f>
        <v>2</v>
      </c>
      <c r="H257" s="238" t="n">
        <v>0</v>
      </c>
      <c r="I257" s="114" t="n">
        <f aca="false">SUM(F257:H257)/3</f>
        <v>0.666666666666667</v>
      </c>
      <c r="J257" s="104"/>
      <c r="K257" s="104"/>
      <c r="R257" s="34"/>
      <c r="AQ257" s="4" t="n">
        <f aca="false">46*I257</f>
        <v>30.6666666666667</v>
      </c>
      <c r="CX257" s="35"/>
      <c r="GB257" s="34"/>
      <c r="GC257" s="116"/>
      <c r="GD257" s="116"/>
      <c r="GE257" s="116"/>
      <c r="GF257" s="116"/>
      <c r="GG257" s="116"/>
      <c r="GH257" s="116"/>
      <c r="GJ257" s="1"/>
      <c r="HI257" s="34"/>
      <c r="HN257" s="34"/>
      <c r="AMI257" s="0"/>
      <c r="AMJ257" s="0"/>
    </row>
    <row collapsed="false" customFormat="true" customHeight="true" hidden="false" ht="12.75" outlineLevel="0" r="258" s="173">
      <c r="A258" s="167" t="s">
        <v>560</v>
      </c>
      <c r="B258" s="167"/>
      <c r="C258" s="168" t="n">
        <v>1430</v>
      </c>
      <c r="D258" s="167" t="s">
        <v>561</v>
      </c>
      <c r="E258" s="260" t="n">
        <v>0</v>
      </c>
      <c r="F258" s="260" t="n">
        <v>0</v>
      </c>
      <c r="G258" s="260" t="n">
        <v>0</v>
      </c>
      <c r="H258" s="171" t="n">
        <f aca="false">SUM(E258:G258)/3</f>
        <v>0</v>
      </c>
      <c r="I258" s="185"/>
      <c r="J258" s="185"/>
      <c r="Q258" s="174"/>
      <c r="CJ258" s="178"/>
      <c r="CL258" s="173" t="n">
        <f aca="false">10*$I258</f>
        <v>0</v>
      </c>
      <c r="CU258" s="175"/>
      <c r="FY258" s="174"/>
      <c r="FZ258" s="176"/>
      <c r="GA258" s="176"/>
      <c r="GB258" s="176"/>
      <c r="GC258" s="178"/>
      <c r="GD258" s="178"/>
      <c r="GE258" s="178"/>
      <c r="GF258" s="176" t="n">
        <f aca="false">0.5*$H258</f>
        <v>0</v>
      </c>
      <c r="GG258" s="176"/>
      <c r="GH258" s="176"/>
      <c r="GL258" s="177" t="n">
        <f aca="false">60*H258</f>
        <v>0</v>
      </c>
      <c r="GN258" s="177" t="n">
        <f aca="false">250*H258</f>
        <v>0</v>
      </c>
      <c r="HF258" s="174"/>
      <c r="HK258" s="174"/>
    </row>
    <row collapsed="false" customFormat="true" customHeight="true" hidden="false" ht="12.75" outlineLevel="0" r="259" s="4">
      <c r="A259" s="128" t="s">
        <v>562</v>
      </c>
      <c r="B259" s="128"/>
      <c r="C259" s="91" t="n">
        <v>70</v>
      </c>
      <c r="D259" s="129" t="s">
        <v>403</v>
      </c>
      <c r="E259" s="129"/>
      <c r="F259" s="130" t="n">
        <v>0</v>
      </c>
      <c r="G259" s="130" t="n">
        <f aca="false">2</f>
        <v>2</v>
      </c>
      <c r="H259" s="130" t="n">
        <v>3</v>
      </c>
      <c r="I259" s="131" t="n">
        <f aca="false">SUM(F259:H259)/3</f>
        <v>1.66666666666667</v>
      </c>
      <c r="J259" s="104"/>
      <c r="K259" s="104"/>
      <c r="R259" s="34"/>
      <c r="CX259" s="35"/>
      <c r="GB259" s="34"/>
      <c r="GC259" s="116"/>
      <c r="GD259" s="116"/>
      <c r="GE259" s="116"/>
      <c r="GF259" s="116"/>
      <c r="GG259" s="116"/>
      <c r="GH259" s="116"/>
      <c r="GJ259" s="0"/>
      <c r="GQ259" s="148" t="n">
        <f aca="false">500*$I259</f>
        <v>833.333333333333</v>
      </c>
      <c r="HI259" s="34"/>
      <c r="HN259" s="34"/>
      <c r="AMI259" s="0"/>
      <c r="AMJ259" s="0"/>
    </row>
    <row collapsed="false" customFormat="true" customHeight="true" hidden="false" ht="12.75" outlineLevel="0" r="260" s="4">
      <c r="A260" s="124" t="s">
        <v>562</v>
      </c>
      <c r="B260" s="124"/>
      <c r="C260" s="95" t="n">
        <v>70</v>
      </c>
      <c r="D260" s="125" t="s">
        <v>403</v>
      </c>
      <c r="E260" s="125"/>
      <c r="F260" s="126" t="n">
        <v>0</v>
      </c>
      <c r="G260" s="126" t="n">
        <v>0</v>
      </c>
      <c r="H260" s="126" t="n">
        <v>3</v>
      </c>
      <c r="I260" s="108" t="n">
        <f aca="false">SUM(F260:H260)/3</f>
        <v>1</v>
      </c>
      <c r="J260" s="104"/>
      <c r="K260" s="104"/>
      <c r="R260" s="34"/>
      <c r="CX260" s="35"/>
      <c r="GB260" s="34"/>
      <c r="GC260" s="116"/>
      <c r="GD260" s="116"/>
      <c r="GE260" s="116"/>
      <c r="GF260" s="116"/>
      <c r="GG260" s="116"/>
      <c r="GH260" s="116"/>
      <c r="GJ260" s="0"/>
      <c r="GQ260" s="127" t="n">
        <f aca="false">500*$I260</f>
        <v>500</v>
      </c>
      <c r="HI260" s="34"/>
      <c r="HN260" s="34"/>
      <c r="AMI260" s="0"/>
      <c r="AMJ260" s="0"/>
    </row>
    <row collapsed="false" customFormat="true" customHeight="true" hidden="false" ht="12.75" outlineLevel="0" r="261" s="4">
      <c r="A261" s="110" t="s">
        <v>563</v>
      </c>
      <c r="B261" s="110"/>
      <c r="C261" s="111" t="n">
        <v>889</v>
      </c>
      <c r="D261" s="110" t="s">
        <v>459</v>
      </c>
      <c r="E261" s="110"/>
      <c r="F261" s="238" t="n">
        <v>0</v>
      </c>
      <c r="G261" s="238" t="n">
        <v>2</v>
      </c>
      <c r="H261" s="238" t="n">
        <v>3</v>
      </c>
      <c r="I261" s="114" t="n">
        <f aca="false">SUM(F261:H261)/3</f>
        <v>1.66666666666667</v>
      </c>
      <c r="J261" s="104"/>
      <c r="K261" s="104"/>
      <c r="R261" s="34"/>
      <c r="CX261" s="35"/>
      <c r="GB261" s="34"/>
      <c r="GC261" s="116"/>
      <c r="GD261" s="116"/>
      <c r="GE261" s="116"/>
      <c r="GF261" s="116"/>
      <c r="GG261" s="116"/>
      <c r="GH261" s="116"/>
      <c r="GJ261" s="0"/>
      <c r="GO261" s="115" t="n">
        <f aca="false">250*$I261</f>
        <v>416.666666666667</v>
      </c>
      <c r="HI261" s="34"/>
      <c r="HN261" s="34"/>
      <c r="AMI261" s="0"/>
      <c r="AMJ261" s="0"/>
    </row>
    <row collapsed="false" customFormat="true" customHeight="true" hidden="false" ht="12.75" outlineLevel="0" r="262" s="4">
      <c r="A262" s="133" t="s">
        <v>564</v>
      </c>
      <c r="B262" s="133"/>
      <c r="C262" s="134" t="n">
        <v>685</v>
      </c>
      <c r="D262" s="135" t="s">
        <v>277</v>
      </c>
      <c r="E262" s="135"/>
      <c r="F262" s="136" t="n">
        <v>0</v>
      </c>
      <c r="G262" s="136" t="n">
        <f aca="false">2*2</f>
        <v>4</v>
      </c>
      <c r="H262" s="136" t="n">
        <v>0</v>
      </c>
      <c r="I262" s="131" t="n">
        <f aca="false">SUM(F262:H262)/3</f>
        <v>1.33333333333333</v>
      </c>
      <c r="J262" s="104"/>
      <c r="K262" s="104"/>
      <c r="R262" s="34"/>
      <c r="CX262" s="35"/>
      <c r="EJ262" s="146" t="n">
        <f aca="false">4*$I262</f>
        <v>5.33333333333333</v>
      </c>
      <c r="EK262" s="115"/>
      <c r="GB262" s="34"/>
      <c r="GC262" s="116"/>
      <c r="GD262" s="116"/>
      <c r="GE262" s="116"/>
      <c r="GF262" s="116"/>
      <c r="GG262" s="116"/>
      <c r="GH262" s="116"/>
      <c r="GJ262" s="0"/>
      <c r="GS262" s="146" t="n">
        <f aca="false">100*$I262</f>
        <v>133.333333333333</v>
      </c>
      <c r="HI262" s="34"/>
      <c r="HN262" s="34"/>
      <c r="AMI262" s="0"/>
      <c r="AMJ262" s="0"/>
    </row>
    <row collapsed="false" customFormat="true" customHeight="true" hidden="false" ht="12.75" outlineLevel="0" r="263" s="4">
      <c r="A263" s="124" t="s">
        <v>564</v>
      </c>
      <c r="B263" s="124"/>
      <c r="C263" s="95" t="n">
        <v>685</v>
      </c>
      <c r="D263" s="125" t="s">
        <v>277</v>
      </c>
      <c r="E263" s="125"/>
      <c r="F263" s="126" t="n">
        <v>0</v>
      </c>
      <c r="G263" s="126" t="n">
        <v>2</v>
      </c>
      <c r="H263" s="126" t="n">
        <v>0</v>
      </c>
      <c r="I263" s="108" t="n">
        <f aca="false">SUM(F263:H263)/3</f>
        <v>0.666666666666667</v>
      </c>
      <c r="J263" s="104"/>
      <c r="K263" s="104"/>
      <c r="R263" s="34"/>
      <c r="CX263" s="35"/>
      <c r="EJ263" s="127" t="n">
        <f aca="false">4*$I263</f>
        <v>2.66666666666667</v>
      </c>
      <c r="EK263" s="115"/>
      <c r="GB263" s="34"/>
      <c r="GC263" s="116"/>
      <c r="GD263" s="116"/>
      <c r="GE263" s="116"/>
      <c r="GF263" s="116"/>
      <c r="GG263" s="116"/>
      <c r="GH263" s="116"/>
      <c r="GJ263" s="0"/>
      <c r="GS263" s="127" t="n">
        <f aca="false">100*$I263</f>
        <v>66.6666666666667</v>
      </c>
      <c r="HI263" s="34"/>
      <c r="HN263" s="34"/>
      <c r="AMI263" s="0"/>
      <c r="AMJ263" s="0"/>
    </row>
    <row collapsed="false" customFormat="true" customHeight="true" hidden="false" ht="12.75" outlineLevel="0" r="264" s="4">
      <c r="A264" s="110" t="s">
        <v>565</v>
      </c>
      <c r="B264" s="110"/>
      <c r="C264" s="111" t="n">
        <v>1432</v>
      </c>
      <c r="D264" s="112" t="s">
        <v>277</v>
      </c>
      <c r="E264" s="112"/>
      <c r="F264" s="113" t="n">
        <v>1</v>
      </c>
      <c r="G264" s="113" t="n">
        <v>0</v>
      </c>
      <c r="H264" s="113" t="n">
        <v>0</v>
      </c>
      <c r="I264" s="114" t="n">
        <f aca="false">SUM(F264:H264)/3</f>
        <v>0.333333333333333</v>
      </c>
      <c r="J264" s="104"/>
      <c r="K264" s="104"/>
      <c r="R264" s="34"/>
      <c r="CX264" s="35"/>
      <c r="GB264" s="34"/>
      <c r="GC264" s="116"/>
      <c r="GD264" s="116"/>
      <c r="GE264" s="116"/>
      <c r="GF264" s="116"/>
      <c r="GG264" s="116"/>
      <c r="GH264" s="116"/>
      <c r="GJ264" s="1"/>
      <c r="GT264" s="115"/>
      <c r="GV264" s="4" t="n">
        <f aca="false">88.25*$I264</f>
        <v>29.4166666666667</v>
      </c>
      <c r="HI264" s="34"/>
      <c r="HN264" s="34"/>
      <c r="AMI264" s="0"/>
      <c r="AMJ264" s="0"/>
    </row>
    <row collapsed="false" customFormat="false" customHeight="true" hidden="false" ht="12.75" outlineLevel="0" r="265">
      <c r="A265" s="110" t="s">
        <v>566</v>
      </c>
      <c r="B265" s="110"/>
      <c r="C265" s="111" t="n">
        <v>573</v>
      </c>
      <c r="D265" s="112" t="s">
        <v>567</v>
      </c>
      <c r="E265" s="112"/>
      <c r="F265" s="113"/>
      <c r="G265" s="113"/>
      <c r="H265" s="113"/>
      <c r="I265" s="114" t="s">
        <v>436</v>
      </c>
      <c r="J265" s="137"/>
      <c r="K265" s="137"/>
    </row>
    <row collapsed="false" customFormat="false" customHeight="true" hidden="false" ht="12.75" outlineLevel="0" r="266">
      <c r="A266" s="110" t="s">
        <v>568</v>
      </c>
      <c r="B266" s="110"/>
      <c r="C266" s="111" t="n">
        <v>1055</v>
      </c>
      <c r="D266" s="112" t="s">
        <v>569</v>
      </c>
      <c r="E266" s="112"/>
      <c r="F266" s="113" t="n">
        <v>2</v>
      </c>
      <c r="G266" s="113" t="n">
        <v>0</v>
      </c>
      <c r="H266" s="113" t="n">
        <v>3</v>
      </c>
      <c r="I266" s="114" t="n">
        <f aca="false">SUM(F266:H266)/3</f>
        <v>1.66666666666667</v>
      </c>
      <c r="J266" s="137"/>
      <c r="K266" s="137"/>
      <c r="GU266" s="51" t="n">
        <f aca="false">400/1*I266</f>
        <v>666.666666666667</v>
      </c>
      <c r="GV266" s="51"/>
      <c r="GW266" s="51"/>
    </row>
    <row collapsed="false" customFormat="false" customHeight="true" hidden="false" ht="12.75" outlineLevel="0" r="267">
      <c r="A267" s="128" t="s">
        <v>570</v>
      </c>
      <c r="B267" s="128"/>
      <c r="C267" s="91" t="n">
        <v>46</v>
      </c>
      <c r="D267" s="129" t="s">
        <v>571</v>
      </c>
      <c r="E267" s="129"/>
      <c r="F267" s="130" t="n">
        <v>0</v>
      </c>
      <c r="G267" s="130" t="n">
        <v>0</v>
      </c>
      <c r="H267" s="130" t="n">
        <f aca="false">3*3</f>
        <v>9</v>
      </c>
      <c r="I267" s="261" t="n">
        <f aca="false">SUM(F267:H267)/3</f>
        <v>3</v>
      </c>
      <c r="J267" s="137"/>
      <c r="K267" s="137"/>
      <c r="GJ267" s="4"/>
      <c r="GU267" s="51"/>
      <c r="GV267" s="51"/>
      <c r="GW267" s="51"/>
      <c r="HC267" s="132" t="n">
        <f aca="false">250/5*$I267</f>
        <v>150</v>
      </c>
    </row>
    <row collapsed="false" customFormat="false" customHeight="true" hidden="false" ht="12.75" outlineLevel="0" r="268">
      <c r="A268" s="124" t="s">
        <v>570</v>
      </c>
      <c r="B268" s="124"/>
      <c r="C268" s="95" t="n">
        <v>46</v>
      </c>
      <c r="D268" s="125" t="s">
        <v>571</v>
      </c>
      <c r="E268" s="125"/>
      <c r="F268" s="126" t="n">
        <v>0</v>
      </c>
      <c r="G268" s="126" t="n">
        <v>0</v>
      </c>
      <c r="H268" s="126" t="n">
        <f aca="false">3*2</f>
        <v>6</v>
      </c>
      <c r="I268" s="262" t="n">
        <f aca="false">SUM(F268:H268)/3</f>
        <v>2</v>
      </c>
      <c r="J268" s="137"/>
      <c r="K268" s="137"/>
      <c r="GJ268" s="4"/>
      <c r="GU268" s="51"/>
      <c r="GV268" s="51"/>
      <c r="GW268" s="51"/>
      <c r="HC268" s="36" t="n">
        <f aca="false">250/5*$I268</f>
        <v>100</v>
      </c>
    </row>
    <row collapsed="false" customFormat="false" customHeight="true" hidden="false" ht="12.75" outlineLevel="0" r="269">
      <c r="A269" s="167" t="s">
        <v>572</v>
      </c>
      <c r="B269" s="167"/>
      <c r="C269" s="168" t="n">
        <v>702</v>
      </c>
      <c r="D269" s="169" t="s">
        <v>360</v>
      </c>
      <c r="E269" s="169"/>
      <c r="F269" s="170" t="n">
        <v>0</v>
      </c>
      <c r="G269" s="170" t="n">
        <f aca="false">0</f>
        <v>0</v>
      </c>
      <c r="H269" s="170" t="n">
        <v>0</v>
      </c>
      <c r="I269" s="171" t="n">
        <f aca="false">SUM(F269:H269)/3</f>
        <v>0</v>
      </c>
      <c r="J269" s="137"/>
      <c r="K269" s="137"/>
      <c r="HF269" s="132" t="n">
        <f aca="false">270*I269</f>
        <v>0</v>
      </c>
      <c r="HG269" s="148" t="n">
        <f aca="false">40.5*I269</f>
        <v>0</v>
      </c>
      <c r="HI269" s="183" t="n">
        <f aca="false">720*I269</f>
        <v>0</v>
      </c>
    </row>
    <row collapsed="false" customFormat="false" customHeight="true" hidden="false" ht="12.75" outlineLevel="0" r="270">
      <c r="A270" s="167" t="s">
        <v>572</v>
      </c>
      <c r="B270" s="167"/>
      <c r="C270" s="168" t="n">
        <v>702</v>
      </c>
      <c r="D270" s="169" t="s">
        <v>360</v>
      </c>
      <c r="E270" s="169"/>
      <c r="F270" s="170" t="n">
        <v>0</v>
      </c>
      <c r="G270" s="170" t="n">
        <f aca="false">0*2</f>
        <v>0</v>
      </c>
      <c r="H270" s="170" t="n">
        <v>0</v>
      </c>
      <c r="I270" s="171" t="n">
        <f aca="false">SUM(F270:H270)/3</f>
        <v>0</v>
      </c>
      <c r="J270" s="137"/>
      <c r="K270" s="137"/>
      <c r="HF270" s="36" t="n">
        <f aca="false">270*I270</f>
        <v>0</v>
      </c>
      <c r="HG270" s="127" t="n">
        <f aca="false">40.5*I269</f>
        <v>0</v>
      </c>
      <c r="HI270" s="40" t="n">
        <f aca="false">720*I270</f>
        <v>0</v>
      </c>
    </row>
    <row collapsed="false" customFormat="false" customHeight="true" hidden="false" ht="12.75" outlineLevel="0" r="271">
      <c r="A271" s="141" t="s">
        <v>573</v>
      </c>
      <c r="B271" s="141"/>
      <c r="C271" s="179" t="n">
        <v>961</v>
      </c>
      <c r="D271" s="143" t="s">
        <v>277</v>
      </c>
      <c r="E271" s="143"/>
      <c r="F271" s="144" t="n">
        <f aca="false">2*2</f>
        <v>4</v>
      </c>
      <c r="G271" s="144" t="n">
        <v>0</v>
      </c>
      <c r="H271" s="144" t="n">
        <v>0</v>
      </c>
      <c r="I271" s="102" t="n">
        <f aca="false">SUM(F271:H271)/3</f>
        <v>1.33333333333333</v>
      </c>
      <c r="J271" s="137"/>
      <c r="K271" s="137"/>
      <c r="DF271" s="146" t="n">
        <f aca="false">100/3*I271</f>
        <v>44.4444444444444</v>
      </c>
      <c r="HF271" s="4"/>
      <c r="HG271" s="4"/>
      <c r="HH271" s="4"/>
      <c r="HI271" s="34"/>
      <c r="HJ271" s="145" t="n">
        <f aca="false">2000/3*I271</f>
        <v>888.888888888889</v>
      </c>
      <c r="JI271" s="263" t="n">
        <f aca="false">100/3*$I271</f>
        <v>44.4444444444444</v>
      </c>
    </row>
    <row collapsed="false" customFormat="false" customHeight="true" hidden="false" ht="12.75" outlineLevel="0" r="272">
      <c r="A272" s="124" t="s">
        <v>573</v>
      </c>
      <c r="B272" s="124"/>
      <c r="C272" s="95" t="n">
        <v>961</v>
      </c>
      <c r="D272" s="125" t="s">
        <v>277</v>
      </c>
      <c r="E272" s="125"/>
      <c r="F272" s="126" t="n">
        <v>2</v>
      </c>
      <c r="G272" s="126" t="n">
        <v>0</v>
      </c>
      <c r="H272" s="126" t="n">
        <v>0</v>
      </c>
      <c r="I272" s="108" t="n">
        <f aca="false">SUM(F272:H272)/3</f>
        <v>0.666666666666667</v>
      </c>
      <c r="J272" s="137"/>
      <c r="K272" s="137"/>
      <c r="DF272" s="127" t="n">
        <f aca="false">100/3*I272</f>
        <v>22.2222222222222</v>
      </c>
      <c r="HF272" s="4"/>
      <c r="HG272" s="4"/>
      <c r="HH272" s="4"/>
      <c r="HI272" s="34"/>
      <c r="HJ272" s="127" t="n">
        <f aca="false">2000/3*I272</f>
        <v>444.444444444444</v>
      </c>
      <c r="JI272" s="264" t="n">
        <f aca="false">100/3*$I272</f>
        <v>22.2222222222222</v>
      </c>
    </row>
    <row collapsed="false" customFormat="false" customHeight="false" hidden="false" ht="12.8" outlineLevel="0" r="273">
      <c r="A273" s="110" t="s">
        <v>574</v>
      </c>
      <c r="B273" s="110"/>
      <c r="C273" s="111" t="n">
        <v>758</v>
      </c>
      <c r="D273" s="112" t="s">
        <v>575</v>
      </c>
      <c r="E273" s="112"/>
      <c r="F273" s="113" t="n">
        <v>0</v>
      </c>
      <c r="G273" s="113" t="n">
        <v>2</v>
      </c>
      <c r="H273" s="113" t="n">
        <v>0</v>
      </c>
      <c r="I273" s="114" t="n">
        <f aca="false">SUM(F273:H273)/3</f>
        <v>0.666666666666667</v>
      </c>
      <c r="J273" s="137"/>
      <c r="K273" s="137"/>
      <c r="BS273" s="51" t="n">
        <f aca="false">25*$I273</f>
        <v>16.6666666666667</v>
      </c>
      <c r="CO273" s="1" t="n">
        <f aca="false">54*$I273</f>
        <v>36</v>
      </c>
      <c r="CZ273" s="1" t="n">
        <f aca="false">25.8*$I273</f>
        <v>17.2</v>
      </c>
      <c r="DN273" s="51" t="n">
        <f aca="false">4.7*$I273</f>
        <v>3.13333333333333</v>
      </c>
      <c r="GJ273" s="4"/>
      <c r="HE273" s="4"/>
      <c r="HL273" s="1" t="n">
        <f aca="false">435*I273</f>
        <v>290</v>
      </c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</row>
    <row collapsed="false" customFormat="true" customHeight="true" hidden="false" ht="12.95" outlineLevel="0" r="274" s="4">
      <c r="A274" s="128" t="s">
        <v>576</v>
      </c>
      <c r="B274" s="128"/>
      <c r="C274" s="91" t="n">
        <v>286</v>
      </c>
      <c r="D274" s="129" t="s">
        <v>577</v>
      </c>
      <c r="E274" s="129"/>
      <c r="F274" s="130" t="n">
        <v>0</v>
      </c>
      <c r="G274" s="130" t="n">
        <f aca="false">0.6*10*2</f>
        <v>12</v>
      </c>
      <c r="H274" s="130" t="n">
        <v>0</v>
      </c>
      <c r="I274" s="131" t="n">
        <f aca="false">SUM(F274:H274)/3</f>
        <v>4</v>
      </c>
      <c r="J274" s="104"/>
      <c r="K274" s="104"/>
      <c r="N274" s="115"/>
      <c r="R274" s="34"/>
      <c r="Y274" s="115"/>
      <c r="BO274" s="115"/>
      <c r="BS274" s="115"/>
      <c r="CX274" s="35"/>
      <c r="CZ274" s="115"/>
      <c r="DJ274" s="115"/>
      <c r="DN274" s="115"/>
      <c r="DS274" s="115"/>
      <c r="EC274" s="115"/>
      <c r="ED274" s="115"/>
      <c r="FM274" s="115"/>
      <c r="GB274" s="34"/>
      <c r="GC274" s="116"/>
      <c r="GD274" s="116"/>
      <c r="GE274" s="116"/>
      <c r="GF274" s="116"/>
      <c r="GG274" s="116"/>
      <c r="GH274" s="116"/>
      <c r="GJ274" s="1"/>
      <c r="HD274" s="115"/>
      <c r="HI274" s="34"/>
      <c r="HN274" s="34"/>
      <c r="HS274" s="115"/>
      <c r="HW274" s="115"/>
      <c r="AMI274" s="0"/>
      <c r="AMJ274" s="0"/>
    </row>
    <row collapsed="false" customFormat="true" customHeight="true" hidden="false" ht="12.95" outlineLevel="0" r="275" s="4">
      <c r="A275" s="124" t="s">
        <v>576</v>
      </c>
      <c r="B275" s="124"/>
      <c r="C275" s="95" t="n">
        <v>286</v>
      </c>
      <c r="D275" s="125" t="s">
        <v>577</v>
      </c>
      <c r="E275" s="125"/>
      <c r="F275" s="126" t="n">
        <v>0</v>
      </c>
      <c r="G275" s="126" t="n">
        <f aca="false">0.4*10*2</f>
        <v>8</v>
      </c>
      <c r="H275" s="126" t="n">
        <v>0</v>
      </c>
      <c r="I275" s="108" t="n">
        <f aca="false">SUM(F275:H275)/3</f>
        <v>2.66666666666667</v>
      </c>
      <c r="J275" s="104"/>
      <c r="K275" s="104"/>
      <c r="N275" s="115"/>
      <c r="R275" s="34"/>
      <c r="Y275" s="115"/>
      <c r="BO275" s="115"/>
      <c r="BS275" s="115"/>
      <c r="CX275" s="35"/>
      <c r="CZ275" s="115"/>
      <c r="DJ275" s="115"/>
      <c r="DN275" s="115"/>
      <c r="DS275" s="115"/>
      <c r="EC275" s="115"/>
      <c r="ED275" s="115"/>
      <c r="FM275" s="115"/>
      <c r="GB275" s="34"/>
      <c r="GC275" s="116"/>
      <c r="GD275" s="116"/>
      <c r="GE275" s="116"/>
      <c r="GF275" s="116"/>
      <c r="GG275" s="116"/>
      <c r="GH275" s="116"/>
      <c r="GJ275" s="1"/>
      <c r="HD275" s="115"/>
      <c r="HI275" s="34"/>
      <c r="HN275" s="34"/>
      <c r="HS275" s="115"/>
      <c r="HW275" s="115"/>
      <c r="AMI275" s="0"/>
      <c r="AMJ275" s="0"/>
    </row>
    <row collapsed="false" customFormat="true" customHeight="true" hidden="false" ht="12.95" outlineLevel="0" r="276" s="4">
      <c r="A276" s="110" t="s">
        <v>578</v>
      </c>
      <c r="B276" s="110"/>
      <c r="C276" s="111" t="n">
        <v>1097</v>
      </c>
      <c r="D276" s="112" t="s">
        <v>332</v>
      </c>
      <c r="E276" s="112"/>
      <c r="F276" s="113" t="n">
        <v>0</v>
      </c>
      <c r="G276" s="113" t="n">
        <f aca="false">2*2</f>
        <v>4</v>
      </c>
      <c r="H276" s="113" t="n">
        <v>0</v>
      </c>
      <c r="I276" s="114" t="n">
        <f aca="false">SUM(F276:H276)/3</f>
        <v>1.33333333333333</v>
      </c>
      <c r="J276" s="104"/>
      <c r="K276" s="104"/>
      <c r="N276" s="115"/>
      <c r="R276" s="34"/>
      <c r="Y276" s="115"/>
      <c r="BO276" s="115"/>
      <c r="BS276" s="115" t="n">
        <f aca="false">0.14*3125/5*$I276</f>
        <v>116.666666666667</v>
      </c>
      <c r="CO276" s="115" t="n">
        <f aca="false">0.4*3125/5*$I276</f>
        <v>333.333333333333</v>
      </c>
      <c r="CX276" s="35"/>
      <c r="CZ276" s="115" t="n">
        <f aca="false">0.15*3125/5*$I276</f>
        <v>125</v>
      </c>
      <c r="DJ276" s="115"/>
      <c r="DN276" s="115"/>
      <c r="DS276" s="115"/>
      <c r="EC276" s="115"/>
      <c r="ED276" s="115"/>
      <c r="FM276" s="115"/>
      <c r="GB276" s="34"/>
      <c r="GC276" s="116"/>
      <c r="GD276" s="116"/>
      <c r="GE276" s="116"/>
      <c r="GF276" s="116"/>
      <c r="GG276" s="116"/>
      <c r="GH276" s="116"/>
      <c r="GJ276" s="1"/>
      <c r="HD276" s="115"/>
      <c r="HI276" s="34"/>
      <c r="HL276" s="4" t="n">
        <f aca="false">250/5*$I276</f>
        <v>66.6666666666667</v>
      </c>
      <c r="HN276" s="34"/>
      <c r="HS276" s="115"/>
      <c r="HW276" s="115"/>
      <c r="AMI276" s="0"/>
      <c r="AMJ276" s="0"/>
    </row>
    <row collapsed="false" customFormat="true" customHeight="true" hidden="false" ht="12.95" outlineLevel="0" r="277" s="4">
      <c r="A277" s="110" t="s">
        <v>579</v>
      </c>
      <c r="B277" s="110"/>
      <c r="C277" s="111" t="n">
        <v>1476</v>
      </c>
      <c r="D277" s="112" t="s">
        <v>580</v>
      </c>
      <c r="E277" s="112" t="n">
        <f aca="false">3*2</f>
        <v>6</v>
      </c>
      <c r="F277" s="113" t="n">
        <v>0</v>
      </c>
      <c r="G277" s="113" t="n">
        <v>0</v>
      </c>
      <c r="H277" s="113" t="n">
        <v>0</v>
      </c>
      <c r="I277" s="114" t="n">
        <f aca="false">SUM(E277:H277)/3</f>
        <v>2</v>
      </c>
      <c r="J277" s="104"/>
      <c r="K277" s="104"/>
      <c r="N277" s="115"/>
      <c r="R277" s="34"/>
      <c r="Y277" s="115"/>
      <c r="BO277" s="115"/>
      <c r="BS277" s="115"/>
      <c r="CO277" s="115"/>
      <c r="CX277" s="35"/>
      <c r="CZ277" s="115"/>
      <c r="DJ277" s="115"/>
      <c r="DN277" s="115"/>
      <c r="DS277" s="115"/>
      <c r="EC277" s="115"/>
      <c r="ED277" s="115"/>
      <c r="FM277" s="115"/>
      <c r="GB277" s="34"/>
      <c r="GC277" s="116"/>
      <c r="GD277" s="116"/>
      <c r="GE277" s="116"/>
      <c r="GF277" s="116"/>
      <c r="GG277" s="116"/>
      <c r="GH277" s="116"/>
      <c r="GJ277" s="1"/>
      <c r="HD277" s="115"/>
      <c r="HI277" s="34"/>
      <c r="HN277" s="34" t="n">
        <f aca="false">750/3*$I277</f>
        <v>500</v>
      </c>
      <c r="HS277" s="115"/>
      <c r="HW277" s="115"/>
      <c r="AMI277" s="0"/>
      <c r="AMJ277" s="0"/>
    </row>
    <row collapsed="false" customFormat="false" customHeight="false" hidden="false" ht="12.8" outlineLevel="0" r="278">
      <c r="A278" s="141" t="s">
        <v>581</v>
      </c>
      <c r="B278" s="141"/>
      <c r="C278" s="179" t="n">
        <v>86</v>
      </c>
      <c r="D278" s="143" t="s">
        <v>582</v>
      </c>
      <c r="E278" s="143"/>
      <c r="F278" s="144" t="n">
        <v>0</v>
      </c>
      <c r="G278" s="144" t="n">
        <f aca="false">(10/4*0.6)*2</f>
        <v>3</v>
      </c>
      <c r="H278" s="144" t="n">
        <v>0</v>
      </c>
      <c r="I278" s="131" t="n">
        <f aca="false">SUM(F278:H278)/3</f>
        <v>1</v>
      </c>
      <c r="J278" s="104"/>
      <c r="K278" s="104"/>
      <c r="L278" s="181" t="n">
        <f aca="false">400/5*I278</f>
        <v>80</v>
      </c>
      <c r="AK278" s="181" t="n">
        <f aca="false">500/5*I278</f>
        <v>100</v>
      </c>
      <c r="AQ278" s="29" t="n">
        <f aca="false">106/5*I278</f>
        <v>21.2</v>
      </c>
      <c r="CN278" s="145" t="n">
        <f aca="false">0.14*500/3.82*$I278</f>
        <v>18.3246073298429</v>
      </c>
      <c r="CO278" s="145" t="n">
        <f aca="false">0.01*500/3.82*$I278</f>
        <v>1.30890052356021</v>
      </c>
      <c r="CP278" s="4"/>
      <c r="DQ278" s="181" t="n">
        <f aca="false">25/5*I278</f>
        <v>5</v>
      </c>
      <c r="EN278" s="145" t="n">
        <f aca="false">54/5*I278</f>
        <v>10.8</v>
      </c>
      <c r="EO278" s="115"/>
      <c r="EP278" s="145" t="n">
        <f aca="false">0.25/5*I278</f>
        <v>0.05</v>
      </c>
      <c r="FY278" s="145" t="n">
        <f aca="false">120/5*I278</f>
        <v>24</v>
      </c>
      <c r="GR278" s="181" t="n">
        <f aca="false">585/5*I278</f>
        <v>117</v>
      </c>
      <c r="GT278" s="181" t="n">
        <f aca="false">25/5*I278</f>
        <v>5</v>
      </c>
      <c r="GU278" s="4"/>
      <c r="GV278" s="4"/>
      <c r="GW278" s="4"/>
      <c r="IQ278" s="145" t="n">
        <f aca="false">2000/5*I278</f>
        <v>400</v>
      </c>
    </row>
    <row collapsed="false" customFormat="false" customHeight="false" hidden="false" ht="12.8" outlineLevel="0" r="279">
      <c r="A279" s="124" t="s">
        <v>581</v>
      </c>
      <c r="B279" s="124"/>
      <c r="C279" s="95" t="n">
        <v>86</v>
      </c>
      <c r="D279" s="125" t="s">
        <v>582</v>
      </c>
      <c r="E279" s="125"/>
      <c r="F279" s="126" t="n">
        <v>0</v>
      </c>
      <c r="G279" s="126" t="n">
        <f aca="false">(10/4*0.4)*2</f>
        <v>2</v>
      </c>
      <c r="H279" s="126" t="n">
        <v>0</v>
      </c>
      <c r="I279" s="108" t="n">
        <f aca="false">SUM(F279:H279)/3</f>
        <v>0.666666666666667</v>
      </c>
      <c r="J279" s="104"/>
      <c r="K279" s="104"/>
      <c r="L279" s="127" t="n">
        <f aca="false">400/5*I279</f>
        <v>53.3333333333333</v>
      </c>
      <c r="AK279" s="127" t="n">
        <f aca="false">500/5*I279</f>
        <v>66.6666666666667</v>
      </c>
      <c r="AQ279" s="127" t="n">
        <f aca="false">106/5*I279</f>
        <v>14.1333333333333</v>
      </c>
      <c r="CN279" s="127" t="n">
        <f aca="false">0.14*500/3.82*$I279</f>
        <v>12.216404886562</v>
      </c>
      <c r="CO279" s="127" t="n">
        <f aca="false">0.01*500/3.82*$I279</f>
        <v>0.872600349040139</v>
      </c>
      <c r="CP279" s="4"/>
      <c r="DQ279" s="127" t="n">
        <f aca="false">25/5*I279</f>
        <v>3.33333333333333</v>
      </c>
      <c r="DR279" s="115"/>
      <c r="EN279" s="127" t="n">
        <f aca="false">54/5*I279</f>
        <v>7.2</v>
      </c>
      <c r="EO279" s="115"/>
      <c r="EP279" s="127" t="n">
        <f aca="false">0.25/5*I279</f>
        <v>0.0333333333333333</v>
      </c>
      <c r="FY279" s="127" t="n">
        <f aca="false">120/5*I279</f>
        <v>16</v>
      </c>
      <c r="GR279" s="36" t="n">
        <f aca="false">585/5*I279</f>
        <v>78</v>
      </c>
      <c r="GT279" s="127" t="n">
        <f aca="false">25/5*I279</f>
        <v>3.33333333333333</v>
      </c>
      <c r="GU279" s="4"/>
      <c r="GV279" s="4"/>
      <c r="GW279" s="4"/>
      <c r="IQ279" s="127" t="n">
        <f aca="false">2000/5*I279</f>
        <v>266.666666666667</v>
      </c>
    </row>
    <row collapsed="false" customFormat="true" customHeight="true" hidden="false" ht="12.95" outlineLevel="0" r="280" s="173">
      <c r="A280" s="167" t="s">
        <v>583</v>
      </c>
      <c r="B280" s="167"/>
      <c r="C280" s="168" t="n">
        <v>1224</v>
      </c>
      <c r="D280" s="169" t="s">
        <v>584</v>
      </c>
      <c r="E280" s="169"/>
      <c r="F280" s="170"/>
      <c r="G280" s="170"/>
      <c r="H280" s="170"/>
      <c r="I280" s="171" t="n">
        <f aca="false">0*2/3</f>
        <v>0</v>
      </c>
      <c r="J280" s="185"/>
      <c r="K280" s="185"/>
      <c r="R280" s="174"/>
      <c r="CX280" s="175"/>
      <c r="GB280" s="174"/>
      <c r="GC280" s="176"/>
      <c r="GD280" s="176"/>
      <c r="GE280" s="176"/>
      <c r="GF280" s="176"/>
      <c r="GG280" s="176"/>
      <c r="GH280" s="176"/>
      <c r="HI280" s="174"/>
      <c r="HN280" s="174"/>
      <c r="IR280" s="173" t="n">
        <f aca="false">25*$I39</f>
        <v>24</v>
      </c>
      <c r="AMI280" s="178"/>
      <c r="AMJ280" s="178"/>
    </row>
    <row collapsed="false" customFormat="false" customHeight="true" hidden="false" ht="12.95" outlineLevel="0" r="281">
      <c r="A281" s="265" t="s">
        <v>585</v>
      </c>
      <c r="B281" s="266"/>
      <c r="C281" s="134" t="n">
        <v>1315</v>
      </c>
      <c r="D281" s="135" t="s">
        <v>286</v>
      </c>
      <c r="E281" s="135"/>
      <c r="F281" s="136" t="n">
        <v>0</v>
      </c>
      <c r="G281" s="136" t="n">
        <v>2</v>
      </c>
      <c r="H281" s="136" t="n">
        <v>0</v>
      </c>
      <c r="I281" s="102" t="n">
        <f aca="false">SUM(F281:H281)/3</f>
        <v>0.666666666666667</v>
      </c>
      <c r="J281" s="137"/>
      <c r="K281" s="137"/>
      <c r="S281" s="51"/>
      <c r="T281" s="51"/>
      <c r="U281" s="51"/>
      <c r="Y281" s="51"/>
      <c r="Z281" s="51"/>
      <c r="AA281" s="51"/>
      <c r="AB281" s="51"/>
      <c r="AC281" s="51"/>
      <c r="AD281" s="115"/>
      <c r="AE281" s="51"/>
      <c r="AF281" s="51"/>
      <c r="AG281" s="51"/>
      <c r="AQ281" s="115"/>
      <c r="AR281" s="115"/>
      <c r="BB281" s="115"/>
      <c r="BC281" s="51"/>
      <c r="BE281" s="29" t="n">
        <f aca="false">750/2*I281</f>
        <v>250</v>
      </c>
      <c r="CQ281" s="115"/>
      <c r="CR281" s="51"/>
      <c r="CS281" s="51"/>
      <c r="CT281" s="51"/>
      <c r="CU281" s="51"/>
      <c r="DA281" s="146" t="n">
        <f aca="false">25/2*0.05*$I281</f>
        <v>0.416666666666667</v>
      </c>
      <c r="DB281" s="115"/>
      <c r="EI281" s="115"/>
      <c r="EJ281" s="115"/>
      <c r="EK281" s="115"/>
      <c r="EL281" s="115"/>
      <c r="EM281" s="146" t="n">
        <f aca="false">160/2*I281</f>
        <v>53.3333333333333</v>
      </c>
      <c r="EV281" s="146" t="n">
        <f aca="false">425/2*I281</f>
        <v>141.666666666667</v>
      </c>
      <c r="EW281" s="4"/>
      <c r="EX281" s="4"/>
      <c r="EZ281" s="4"/>
      <c r="FA281" s="29" t="n">
        <f aca="false">141/2*$I281</f>
        <v>47</v>
      </c>
      <c r="FD281" s="146" t="n">
        <f aca="false">16.7/2*I281</f>
        <v>5.56666666666667</v>
      </c>
      <c r="FU281" s="146" t="n">
        <f aca="false">7.5/2*$I281</f>
        <v>2.5</v>
      </c>
      <c r="GZ281" s="115"/>
      <c r="HA281" s="4"/>
      <c r="HB281" s="4"/>
      <c r="HC281" s="4"/>
      <c r="HE281" s="4"/>
      <c r="IM281" s="4"/>
      <c r="IN281" s="4"/>
      <c r="IO281" s="4"/>
      <c r="IP281" s="4"/>
      <c r="IQ281" s="4"/>
      <c r="IR281" s="115"/>
      <c r="IS281" s="4"/>
      <c r="IT281" s="4"/>
      <c r="IU281" s="4"/>
      <c r="IV281" s="4"/>
      <c r="IW281" s="4"/>
      <c r="IX281" s="4"/>
      <c r="IY281" s="4"/>
      <c r="IZ281" s="4"/>
      <c r="JA281" s="4"/>
      <c r="JB281" s="4"/>
    </row>
    <row collapsed="false" customFormat="true" customHeight="true" hidden="false" ht="12.95" outlineLevel="0" r="282" s="4">
      <c r="A282" s="128" t="s">
        <v>586</v>
      </c>
      <c r="B282" s="128"/>
      <c r="C282" s="91" t="n">
        <v>133</v>
      </c>
      <c r="D282" s="129" t="s">
        <v>356</v>
      </c>
      <c r="E282" s="129"/>
      <c r="F282" s="130" t="n">
        <v>0</v>
      </c>
      <c r="G282" s="130" t="n">
        <f aca="false">1.2*3.5*2</f>
        <v>8.4</v>
      </c>
      <c r="H282" s="130" t="n">
        <v>0</v>
      </c>
      <c r="I282" s="131" t="n">
        <f aca="false">SUM(F282:H282)/3</f>
        <v>2.8</v>
      </c>
      <c r="J282" s="104"/>
      <c r="K282" s="104"/>
      <c r="R282" s="34"/>
      <c r="CX282" s="35"/>
      <c r="GB282" s="34"/>
      <c r="GC282" s="116"/>
      <c r="GD282" s="116"/>
      <c r="GE282" s="116"/>
      <c r="GF282" s="116"/>
      <c r="GG282" s="116"/>
      <c r="GH282" s="116"/>
      <c r="GJ282" s="1"/>
      <c r="HI282" s="34"/>
      <c r="HN282" s="34"/>
      <c r="HO282" s="148" t="n">
        <f aca="false">I282*1000</f>
        <v>2800</v>
      </c>
      <c r="AMI282" s="0"/>
      <c r="AMJ282" s="0"/>
    </row>
    <row collapsed="false" customFormat="true" customHeight="true" hidden="false" ht="12.95" outlineLevel="0" r="283" s="4">
      <c r="A283" s="124" t="s">
        <v>586</v>
      </c>
      <c r="B283" s="124"/>
      <c r="C283" s="95" t="n">
        <v>133</v>
      </c>
      <c r="D283" s="125" t="s">
        <v>356</v>
      </c>
      <c r="E283" s="125"/>
      <c r="F283" s="126" t="n">
        <v>0</v>
      </c>
      <c r="G283" s="126" t="n">
        <f aca="false">0.8*3.5*2</f>
        <v>5.6</v>
      </c>
      <c r="H283" s="126" t="n">
        <v>0</v>
      </c>
      <c r="I283" s="108" t="n">
        <f aca="false">SUM(F283:H283)/3</f>
        <v>1.86666666666667</v>
      </c>
      <c r="J283" s="104"/>
      <c r="K283" s="104"/>
      <c r="R283" s="34"/>
      <c r="CX283" s="35"/>
      <c r="GB283" s="34"/>
      <c r="GC283" s="116"/>
      <c r="GD283" s="116"/>
      <c r="GE283" s="116"/>
      <c r="GF283" s="116"/>
      <c r="GG283" s="116"/>
      <c r="GH283" s="116"/>
      <c r="GJ283" s="1"/>
      <c r="HI283" s="34"/>
      <c r="HN283" s="34"/>
      <c r="HO283" s="127" t="n">
        <f aca="false">I283*1000</f>
        <v>1866.66666666667</v>
      </c>
      <c r="AMI283" s="0"/>
      <c r="AMJ283" s="0"/>
    </row>
    <row collapsed="false" customFormat="true" customHeight="true" hidden="false" ht="12.95" outlineLevel="0" r="284" s="4">
      <c r="A284" s="110" t="s">
        <v>587</v>
      </c>
      <c r="B284" s="110"/>
      <c r="C284" s="111" t="n">
        <v>1038</v>
      </c>
      <c r="D284" s="112" t="s">
        <v>352</v>
      </c>
      <c r="E284" s="112"/>
      <c r="F284" s="113" t="n">
        <v>0</v>
      </c>
      <c r="G284" s="113" t="n">
        <v>1</v>
      </c>
      <c r="H284" s="113" t="n">
        <v>0</v>
      </c>
      <c r="I284" s="114" t="n">
        <f aca="false">SUM(F284:H284)/3</f>
        <v>0.333333333333333</v>
      </c>
      <c r="J284" s="104"/>
      <c r="K284" s="104"/>
      <c r="R284" s="34"/>
      <c r="U284" s="4" t="n">
        <f aca="false">20*$I284</f>
        <v>6.66666666666667</v>
      </c>
      <c r="CX284" s="35"/>
      <c r="GB284" s="34"/>
      <c r="GC284" s="116"/>
      <c r="GD284" s="116"/>
      <c r="GE284" s="116"/>
      <c r="GF284" s="116"/>
      <c r="GG284" s="116"/>
      <c r="GH284" s="116"/>
      <c r="GJ284" s="1"/>
      <c r="HI284" s="34"/>
      <c r="HN284" s="34"/>
      <c r="HO284" s="115"/>
      <c r="AMI284" s="0"/>
      <c r="AMJ284" s="0"/>
    </row>
    <row collapsed="false" customFormat="true" customHeight="true" hidden="false" ht="12.95" outlineLevel="0" r="285" s="224">
      <c r="A285" s="267" t="s">
        <v>588</v>
      </c>
      <c r="B285" s="268"/>
      <c r="C285" s="269" t="n">
        <v>115</v>
      </c>
      <c r="D285" s="220" t="s">
        <v>301</v>
      </c>
      <c r="E285" s="220"/>
      <c r="F285" s="221"/>
      <c r="G285" s="221"/>
      <c r="H285" s="221"/>
      <c r="I285" s="222" t="n">
        <f aca="false">0.084*2/3</f>
        <v>0.056</v>
      </c>
      <c r="J285" s="223"/>
      <c r="K285" s="223"/>
      <c r="R285" s="225"/>
      <c r="CX285" s="226"/>
      <c r="GB285" s="225"/>
      <c r="GC285" s="227"/>
      <c r="GD285" s="227"/>
      <c r="GE285" s="227"/>
      <c r="GF285" s="227"/>
      <c r="GG285" s="227"/>
      <c r="GH285" s="227"/>
      <c r="HI285" s="225"/>
      <c r="HN285" s="225"/>
      <c r="HR285" s="224" t="n">
        <f aca="false">1000*I285</f>
        <v>56</v>
      </c>
      <c r="AMI285" s="228"/>
      <c r="AMJ285" s="228"/>
    </row>
    <row collapsed="false" customFormat="true" customHeight="true" hidden="false" ht="12.95" outlineLevel="0" r="286" s="224">
      <c r="A286" s="267" t="s">
        <v>588</v>
      </c>
      <c r="B286" s="268"/>
      <c r="C286" s="269" t="n">
        <v>115</v>
      </c>
      <c r="D286" s="220" t="s">
        <v>301</v>
      </c>
      <c r="E286" s="220"/>
      <c r="F286" s="221"/>
      <c r="G286" s="221"/>
      <c r="H286" s="221"/>
      <c r="I286" s="222" t="n">
        <f aca="false">0.056*2/3</f>
        <v>0.0373333333333333</v>
      </c>
      <c r="J286" s="223"/>
      <c r="K286" s="223"/>
      <c r="R286" s="225"/>
      <c r="CX286" s="226"/>
      <c r="GB286" s="225"/>
      <c r="GC286" s="227"/>
      <c r="GD286" s="227"/>
      <c r="GE286" s="227"/>
      <c r="GF286" s="227"/>
      <c r="GG286" s="227"/>
      <c r="GH286" s="227"/>
      <c r="HI286" s="225"/>
      <c r="HN286" s="225"/>
      <c r="HR286" s="229" t="n">
        <f aca="false">1000*I286</f>
        <v>37.3333333333333</v>
      </c>
      <c r="AMI286" s="228"/>
      <c r="AMJ286" s="228"/>
    </row>
    <row collapsed="false" customFormat="true" customHeight="true" hidden="false" ht="12.95" outlineLevel="0" r="287" s="178">
      <c r="A287" s="270" t="s">
        <v>589</v>
      </c>
      <c r="B287" s="270"/>
      <c r="C287" s="168" t="n">
        <v>359</v>
      </c>
      <c r="D287" s="169" t="s">
        <v>590</v>
      </c>
      <c r="E287" s="169"/>
      <c r="F287" s="170"/>
      <c r="G287" s="170"/>
      <c r="H287" s="170"/>
      <c r="I287" s="171" t="n">
        <f aca="false">0</f>
        <v>0</v>
      </c>
      <c r="J287" s="185"/>
      <c r="K287" s="185"/>
      <c r="L287" s="173"/>
      <c r="M287" s="173"/>
      <c r="N287" s="173"/>
      <c r="O287" s="173"/>
      <c r="P287" s="173"/>
      <c r="Q287" s="173"/>
      <c r="R287" s="174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3"/>
      <c r="AW287" s="173"/>
      <c r="AX287" s="173"/>
      <c r="AY287" s="173"/>
      <c r="AZ287" s="173"/>
      <c r="BA287" s="173"/>
      <c r="BB287" s="173"/>
      <c r="BC287" s="173"/>
      <c r="BD287" s="173"/>
      <c r="BE287" s="173"/>
      <c r="BF287" s="173"/>
      <c r="BG287" s="173"/>
      <c r="BH287" s="173"/>
      <c r="BI287" s="173"/>
      <c r="BJ287" s="173"/>
      <c r="BK287" s="173"/>
      <c r="BL287" s="173"/>
      <c r="BM287" s="173"/>
      <c r="BN287" s="173"/>
      <c r="BO287" s="173"/>
      <c r="BP287" s="173"/>
      <c r="BQ287" s="173"/>
      <c r="BR287" s="173"/>
      <c r="BS287" s="173"/>
      <c r="BT287" s="173"/>
      <c r="BU287" s="173"/>
      <c r="BV287" s="173"/>
      <c r="BW287" s="173"/>
      <c r="BX287" s="173"/>
      <c r="BY287" s="173"/>
      <c r="BZ287" s="173"/>
      <c r="CA287" s="173"/>
      <c r="CB287" s="173"/>
      <c r="CC287" s="173"/>
      <c r="CD287" s="173"/>
      <c r="CE287" s="173"/>
      <c r="CF287" s="173"/>
      <c r="CG287" s="173"/>
      <c r="CH287" s="173"/>
      <c r="CI287" s="173"/>
      <c r="CJ287" s="173"/>
      <c r="CK287" s="173"/>
      <c r="CL287" s="173"/>
      <c r="CM287" s="173"/>
      <c r="CN287" s="173"/>
      <c r="CO287" s="173"/>
      <c r="CP287" s="173"/>
      <c r="CQ287" s="173"/>
      <c r="CR287" s="173"/>
      <c r="CS287" s="173"/>
      <c r="CT287" s="173"/>
      <c r="CU287" s="173"/>
      <c r="CV287" s="173"/>
      <c r="CW287" s="173"/>
      <c r="CX287" s="175"/>
      <c r="CY287" s="173"/>
      <c r="CZ287" s="173"/>
      <c r="DA287" s="173"/>
      <c r="DB287" s="173"/>
      <c r="DC287" s="173"/>
      <c r="DD287" s="173"/>
      <c r="DE287" s="173"/>
      <c r="DF287" s="173"/>
      <c r="DG287" s="173"/>
      <c r="DH287" s="173"/>
      <c r="DI287" s="173"/>
      <c r="DJ287" s="173"/>
      <c r="DK287" s="173"/>
      <c r="DL287" s="173"/>
      <c r="DM287" s="173"/>
      <c r="DN287" s="173"/>
      <c r="DO287" s="173"/>
      <c r="DP287" s="173"/>
      <c r="DQ287" s="173"/>
      <c r="DR287" s="173"/>
      <c r="DS287" s="173"/>
      <c r="DT287" s="173"/>
      <c r="DU287" s="173"/>
      <c r="DV287" s="173"/>
      <c r="DW287" s="173"/>
      <c r="DX287" s="173"/>
      <c r="DY287" s="173"/>
      <c r="DZ287" s="173"/>
      <c r="EA287" s="173"/>
      <c r="EB287" s="173"/>
      <c r="EC287" s="173"/>
      <c r="ED287" s="173"/>
      <c r="EE287" s="173"/>
      <c r="EF287" s="173"/>
      <c r="EG287" s="173"/>
      <c r="EH287" s="173"/>
      <c r="EI287" s="173"/>
      <c r="EJ287" s="173"/>
      <c r="EK287" s="173"/>
      <c r="EL287" s="173"/>
      <c r="EM287" s="173"/>
      <c r="EN287" s="173"/>
      <c r="EO287" s="173"/>
      <c r="EP287" s="173"/>
      <c r="EQ287" s="173"/>
      <c r="ER287" s="173"/>
      <c r="ES287" s="173"/>
      <c r="ET287" s="173"/>
      <c r="EU287" s="173"/>
      <c r="EV287" s="173"/>
      <c r="EW287" s="173"/>
      <c r="EX287" s="173"/>
      <c r="EY287" s="173"/>
      <c r="EZ287" s="173"/>
      <c r="FA287" s="173"/>
      <c r="FB287" s="173"/>
      <c r="FC287" s="173"/>
      <c r="FD287" s="173"/>
      <c r="FE287" s="173"/>
      <c r="FF287" s="173"/>
      <c r="FG287" s="173"/>
      <c r="FH287" s="173"/>
      <c r="FI287" s="173"/>
      <c r="FJ287" s="173"/>
      <c r="FK287" s="173"/>
      <c r="FL287" s="173"/>
      <c r="FM287" s="173"/>
      <c r="FN287" s="173"/>
      <c r="FO287" s="173"/>
      <c r="FP287" s="173"/>
      <c r="FQ287" s="173"/>
      <c r="FR287" s="173"/>
      <c r="FS287" s="173"/>
      <c r="FT287" s="173"/>
      <c r="FU287" s="173"/>
      <c r="FV287" s="173"/>
      <c r="FW287" s="173"/>
      <c r="FX287" s="173"/>
      <c r="FY287" s="173"/>
      <c r="FZ287" s="173"/>
      <c r="GA287" s="173"/>
      <c r="GB287" s="174"/>
      <c r="GC287" s="176"/>
      <c r="GD287" s="176"/>
      <c r="GE287" s="176"/>
      <c r="GF287" s="176"/>
      <c r="GG287" s="176"/>
      <c r="GH287" s="176"/>
      <c r="GI287" s="173"/>
      <c r="GJ287" s="173"/>
      <c r="GK287" s="173"/>
      <c r="GL287" s="173"/>
      <c r="GM287" s="173"/>
      <c r="GN287" s="173"/>
      <c r="GO287" s="173"/>
      <c r="GP287" s="173"/>
      <c r="GQ287" s="173"/>
      <c r="GR287" s="173"/>
      <c r="GS287" s="173"/>
      <c r="GT287" s="173"/>
      <c r="GU287" s="173"/>
      <c r="GV287" s="173"/>
      <c r="GW287" s="173"/>
      <c r="GX287" s="173"/>
      <c r="GY287" s="173"/>
      <c r="GZ287" s="173"/>
      <c r="HA287" s="173"/>
      <c r="HB287" s="173"/>
      <c r="HC287" s="173"/>
      <c r="HD287" s="173"/>
      <c r="HE287" s="173"/>
      <c r="HF287" s="173"/>
      <c r="HG287" s="173"/>
      <c r="HH287" s="173"/>
      <c r="HI287" s="174"/>
      <c r="HJ287" s="173"/>
      <c r="HK287" s="173"/>
      <c r="HL287" s="173"/>
      <c r="HM287" s="173"/>
      <c r="HN287" s="174"/>
      <c r="HO287" s="173"/>
      <c r="HP287" s="173"/>
      <c r="HQ287" s="173"/>
      <c r="HR287" s="173"/>
      <c r="HS287" s="173"/>
      <c r="HT287" s="173"/>
      <c r="HU287" s="177" t="n">
        <f aca="false">1000/2*I287</f>
        <v>0</v>
      </c>
      <c r="HV287" s="173"/>
      <c r="HW287" s="173"/>
      <c r="HX287" s="173"/>
      <c r="HY287" s="173"/>
      <c r="HZ287" s="173"/>
      <c r="IA287" s="173"/>
      <c r="IB287" s="173"/>
      <c r="IC287" s="173"/>
      <c r="ID287" s="173"/>
      <c r="IE287" s="173"/>
      <c r="IF287" s="173"/>
      <c r="IG287" s="173"/>
      <c r="IH287" s="173"/>
      <c r="II287" s="173"/>
      <c r="IJ287" s="173"/>
      <c r="IK287" s="173"/>
      <c r="IL287" s="173"/>
      <c r="IM287" s="173"/>
      <c r="IN287" s="173"/>
      <c r="IO287" s="173"/>
      <c r="IP287" s="173"/>
      <c r="IQ287" s="173"/>
      <c r="IR287" s="173"/>
      <c r="IS287" s="173"/>
      <c r="IT287" s="173"/>
      <c r="IU287" s="173"/>
      <c r="IV287" s="173"/>
      <c r="IW287" s="173"/>
      <c r="IX287" s="173"/>
      <c r="IY287" s="173"/>
      <c r="IZ287" s="173"/>
      <c r="JA287" s="173"/>
      <c r="JB287" s="173"/>
      <c r="JC287" s="173"/>
      <c r="JD287" s="173"/>
    </row>
    <row collapsed="false" customFormat="true" customHeight="true" hidden="false" ht="12.95" outlineLevel="0" r="288" s="178">
      <c r="A288" s="270" t="s">
        <v>589</v>
      </c>
      <c r="B288" s="270"/>
      <c r="C288" s="168" t="n">
        <v>359</v>
      </c>
      <c r="D288" s="169" t="s">
        <v>590</v>
      </c>
      <c r="E288" s="169"/>
      <c r="F288" s="170"/>
      <c r="G288" s="170"/>
      <c r="H288" s="170"/>
      <c r="I288" s="171" t="n">
        <f aca="false">0</f>
        <v>0</v>
      </c>
      <c r="J288" s="185"/>
      <c r="K288" s="185"/>
      <c r="L288" s="173"/>
      <c r="M288" s="173"/>
      <c r="N288" s="173"/>
      <c r="O288" s="173"/>
      <c r="P288" s="173"/>
      <c r="Q288" s="173"/>
      <c r="R288" s="174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3"/>
      <c r="AW288" s="173"/>
      <c r="AX288" s="173"/>
      <c r="AY288" s="173"/>
      <c r="AZ288" s="173"/>
      <c r="BA288" s="173"/>
      <c r="BB288" s="173"/>
      <c r="BC288" s="173"/>
      <c r="BD288" s="173"/>
      <c r="BE288" s="173"/>
      <c r="BF288" s="173"/>
      <c r="BG288" s="173"/>
      <c r="BH288" s="173"/>
      <c r="BI288" s="173"/>
      <c r="BJ288" s="173"/>
      <c r="BK288" s="173"/>
      <c r="BL288" s="173"/>
      <c r="BM288" s="173"/>
      <c r="BN288" s="173"/>
      <c r="BO288" s="173"/>
      <c r="BP288" s="173"/>
      <c r="BQ288" s="173"/>
      <c r="BR288" s="173"/>
      <c r="BS288" s="173"/>
      <c r="BT288" s="173"/>
      <c r="BU288" s="173"/>
      <c r="BV288" s="173"/>
      <c r="BW288" s="173"/>
      <c r="BX288" s="173"/>
      <c r="BY288" s="173"/>
      <c r="BZ288" s="173"/>
      <c r="CA288" s="173"/>
      <c r="CB288" s="173"/>
      <c r="CC288" s="173"/>
      <c r="CD288" s="173"/>
      <c r="CE288" s="173"/>
      <c r="CF288" s="173"/>
      <c r="CG288" s="173"/>
      <c r="CH288" s="173"/>
      <c r="CI288" s="173"/>
      <c r="CJ288" s="173"/>
      <c r="CK288" s="173"/>
      <c r="CL288" s="173"/>
      <c r="CM288" s="173"/>
      <c r="CN288" s="173"/>
      <c r="CO288" s="173"/>
      <c r="CP288" s="173"/>
      <c r="CQ288" s="173"/>
      <c r="CR288" s="173"/>
      <c r="CS288" s="173"/>
      <c r="CT288" s="173"/>
      <c r="CU288" s="173"/>
      <c r="CV288" s="173"/>
      <c r="CW288" s="173"/>
      <c r="CX288" s="175"/>
      <c r="CY288" s="173"/>
      <c r="CZ288" s="173"/>
      <c r="DA288" s="173"/>
      <c r="DB288" s="173"/>
      <c r="DC288" s="173"/>
      <c r="DD288" s="173"/>
      <c r="DE288" s="173"/>
      <c r="DF288" s="173"/>
      <c r="DG288" s="173"/>
      <c r="DH288" s="173"/>
      <c r="DI288" s="173"/>
      <c r="DJ288" s="173"/>
      <c r="DK288" s="173"/>
      <c r="DL288" s="173"/>
      <c r="DM288" s="173"/>
      <c r="DN288" s="173"/>
      <c r="DO288" s="173"/>
      <c r="DP288" s="173"/>
      <c r="DQ288" s="173"/>
      <c r="DR288" s="173"/>
      <c r="DS288" s="173"/>
      <c r="DT288" s="173"/>
      <c r="DU288" s="173"/>
      <c r="DV288" s="173"/>
      <c r="DW288" s="173"/>
      <c r="DX288" s="173"/>
      <c r="DY288" s="173"/>
      <c r="DZ288" s="173"/>
      <c r="EA288" s="173"/>
      <c r="EB288" s="173"/>
      <c r="EC288" s="173"/>
      <c r="ED288" s="173"/>
      <c r="EE288" s="173"/>
      <c r="EF288" s="173"/>
      <c r="EG288" s="173"/>
      <c r="EH288" s="173"/>
      <c r="EI288" s="173"/>
      <c r="EJ288" s="173"/>
      <c r="EK288" s="173"/>
      <c r="EL288" s="173"/>
      <c r="EM288" s="173"/>
      <c r="EN288" s="173"/>
      <c r="EO288" s="173"/>
      <c r="EP288" s="173"/>
      <c r="EQ288" s="173"/>
      <c r="ER288" s="173"/>
      <c r="ES288" s="173"/>
      <c r="ET288" s="173"/>
      <c r="EU288" s="173"/>
      <c r="EV288" s="173"/>
      <c r="EW288" s="173"/>
      <c r="EX288" s="173"/>
      <c r="EY288" s="173"/>
      <c r="EZ288" s="173"/>
      <c r="FA288" s="173"/>
      <c r="FB288" s="173"/>
      <c r="FC288" s="173"/>
      <c r="FD288" s="173"/>
      <c r="FE288" s="173"/>
      <c r="FF288" s="173"/>
      <c r="FG288" s="173"/>
      <c r="FH288" s="173"/>
      <c r="FI288" s="173"/>
      <c r="FJ288" s="173"/>
      <c r="FK288" s="173"/>
      <c r="FL288" s="173"/>
      <c r="FM288" s="173"/>
      <c r="FN288" s="173"/>
      <c r="FO288" s="173"/>
      <c r="FP288" s="173"/>
      <c r="FQ288" s="173"/>
      <c r="FR288" s="173"/>
      <c r="FS288" s="173"/>
      <c r="FT288" s="173"/>
      <c r="FU288" s="173"/>
      <c r="FV288" s="173"/>
      <c r="FW288" s="173"/>
      <c r="FX288" s="173"/>
      <c r="FY288" s="173"/>
      <c r="FZ288" s="173"/>
      <c r="GA288" s="173"/>
      <c r="GB288" s="174"/>
      <c r="GC288" s="176"/>
      <c r="GD288" s="176"/>
      <c r="GE288" s="176"/>
      <c r="GF288" s="176"/>
      <c r="GG288" s="176"/>
      <c r="GH288" s="176"/>
      <c r="GI288" s="173"/>
      <c r="GJ288" s="173"/>
      <c r="GK288" s="173"/>
      <c r="GL288" s="173"/>
      <c r="GM288" s="173"/>
      <c r="GN288" s="173"/>
      <c r="GO288" s="173"/>
      <c r="GP288" s="173"/>
      <c r="GQ288" s="173"/>
      <c r="GR288" s="173"/>
      <c r="GS288" s="173"/>
      <c r="GT288" s="173"/>
      <c r="GU288" s="173"/>
      <c r="GV288" s="173"/>
      <c r="GW288" s="173"/>
      <c r="GX288" s="173"/>
      <c r="GY288" s="173"/>
      <c r="GZ288" s="173"/>
      <c r="HA288" s="173"/>
      <c r="HB288" s="173"/>
      <c r="HC288" s="173"/>
      <c r="HD288" s="173"/>
      <c r="HE288" s="173"/>
      <c r="HF288" s="173"/>
      <c r="HG288" s="173"/>
      <c r="HH288" s="173"/>
      <c r="HI288" s="174"/>
      <c r="HJ288" s="173"/>
      <c r="HK288" s="173"/>
      <c r="HL288" s="173"/>
      <c r="HM288" s="173"/>
      <c r="HN288" s="174"/>
      <c r="HO288" s="173"/>
      <c r="HP288" s="173"/>
      <c r="HQ288" s="173"/>
      <c r="HR288" s="173"/>
      <c r="HS288" s="173"/>
      <c r="HT288" s="173"/>
      <c r="HU288" s="177" t="n">
        <f aca="false">1000/2*I288</f>
        <v>0</v>
      </c>
      <c r="HV288" s="173"/>
      <c r="HW288" s="173"/>
      <c r="HX288" s="173"/>
      <c r="HY288" s="173"/>
      <c r="HZ288" s="173"/>
      <c r="IA288" s="173"/>
      <c r="IB288" s="173"/>
      <c r="IC288" s="173"/>
      <c r="ID288" s="173"/>
      <c r="IE288" s="173"/>
      <c r="IF288" s="173"/>
      <c r="IG288" s="173"/>
      <c r="IH288" s="173"/>
      <c r="II288" s="173"/>
      <c r="IJ288" s="173"/>
      <c r="IK288" s="173"/>
      <c r="IL288" s="173"/>
      <c r="IM288" s="173"/>
      <c r="IN288" s="173"/>
      <c r="IO288" s="173"/>
      <c r="IP288" s="173"/>
      <c r="IQ288" s="173"/>
      <c r="IR288" s="173"/>
      <c r="IS288" s="173"/>
      <c r="IT288" s="173"/>
      <c r="IU288" s="173"/>
      <c r="IV288" s="173"/>
      <c r="IW288" s="173"/>
      <c r="IX288" s="173"/>
      <c r="IY288" s="173"/>
      <c r="IZ288" s="173"/>
      <c r="JA288" s="173"/>
      <c r="JB288" s="173"/>
      <c r="JC288" s="173"/>
      <c r="JD288" s="173"/>
    </row>
    <row collapsed="false" customFormat="true" customHeight="true" hidden="false" ht="12.95" outlineLevel="0" r="289" s="4">
      <c r="A289" s="271" t="s">
        <v>591</v>
      </c>
      <c r="B289" s="271"/>
      <c r="C289" s="91" t="n">
        <v>349</v>
      </c>
      <c r="D289" s="129" t="s">
        <v>592</v>
      </c>
      <c r="E289" s="129"/>
      <c r="F289" s="130" t="n">
        <v>0</v>
      </c>
      <c r="G289" s="130" t="n">
        <f aca="false">1.2*3.125*2</f>
        <v>7.5</v>
      </c>
      <c r="H289" s="130" t="n">
        <v>0</v>
      </c>
      <c r="I289" s="131" t="n">
        <f aca="false">SUM(F289:H289)/3</f>
        <v>2.5</v>
      </c>
      <c r="J289" s="104"/>
      <c r="K289" s="104"/>
      <c r="R289" s="34"/>
      <c r="CX289" s="35"/>
      <c r="GB289" s="34"/>
      <c r="GC289" s="116"/>
      <c r="GD289" s="116"/>
      <c r="GE289" s="116"/>
      <c r="GF289" s="116"/>
      <c r="GG289" s="116"/>
      <c r="GH289" s="116"/>
      <c r="GJ289" s="1"/>
      <c r="HI289" s="34"/>
      <c r="HN289" s="34"/>
      <c r="HU289" s="148" t="n">
        <f aca="false">I289*1000</f>
        <v>2500</v>
      </c>
      <c r="AMI289" s="0"/>
      <c r="AMJ289" s="0"/>
    </row>
    <row collapsed="false" customFormat="true" customHeight="true" hidden="false" ht="12.95" outlineLevel="0" r="290" s="4">
      <c r="A290" s="105" t="s">
        <v>591</v>
      </c>
      <c r="B290" s="105"/>
      <c r="C290" s="95" t="n">
        <v>349</v>
      </c>
      <c r="D290" s="125" t="s">
        <v>592</v>
      </c>
      <c r="E290" s="125"/>
      <c r="F290" s="126" t="n">
        <v>0</v>
      </c>
      <c r="G290" s="126" t="n">
        <f aca="false">0.8*3.125*2</f>
        <v>5</v>
      </c>
      <c r="H290" s="126" t="n">
        <v>0</v>
      </c>
      <c r="I290" s="108" t="n">
        <f aca="false">SUM(F290:H290)/3</f>
        <v>1.66666666666667</v>
      </c>
      <c r="J290" s="104"/>
      <c r="K290" s="104"/>
      <c r="R290" s="34"/>
      <c r="CX290" s="35"/>
      <c r="GB290" s="34"/>
      <c r="GC290" s="116"/>
      <c r="GD290" s="116"/>
      <c r="GE290" s="116"/>
      <c r="GF290" s="116"/>
      <c r="GG290" s="116"/>
      <c r="GH290" s="116"/>
      <c r="HI290" s="34"/>
      <c r="HN290" s="34"/>
      <c r="HU290" s="127" t="n">
        <f aca="false">I290*1000</f>
        <v>1666.66666666667</v>
      </c>
      <c r="AMI290" s="0"/>
      <c r="AMJ290" s="0"/>
    </row>
    <row collapsed="false" customFormat="false" customHeight="true" hidden="false" ht="12.95" outlineLevel="0" r="291">
      <c r="A291" s="112" t="s">
        <v>593</v>
      </c>
      <c r="B291" s="110"/>
      <c r="C291" s="111" t="n">
        <v>781</v>
      </c>
      <c r="D291" s="272" t="s">
        <v>423</v>
      </c>
      <c r="E291" s="272"/>
      <c r="F291" s="273" t="n">
        <v>0</v>
      </c>
      <c r="G291" s="273" t="n">
        <v>2</v>
      </c>
      <c r="H291" s="273" t="n">
        <v>0</v>
      </c>
      <c r="I291" s="114" t="n">
        <f aca="false">SUM(F291:H291)/3</f>
        <v>0.666666666666667</v>
      </c>
      <c r="J291" s="137"/>
      <c r="K291" s="137"/>
      <c r="GJ291" s="4"/>
      <c r="HE291" s="115" t="n">
        <f aca="false">20*$I291</f>
        <v>13.3333333333333</v>
      </c>
      <c r="IM291" s="4"/>
      <c r="IN291" s="4"/>
      <c r="IO291" s="4"/>
      <c r="IP291" s="4"/>
      <c r="IQ291" s="4"/>
      <c r="IR291" s="4"/>
      <c r="IS291" s="4"/>
      <c r="IT291" s="4"/>
      <c r="IU291" s="115" t="n">
        <f aca="false">31*$I291</f>
        <v>20.6666666666667</v>
      </c>
      <c r="IV291" s="4"/>
      <c r="IW291" s="4"/>
      <c r="IX291" s="4"/>
      <c r="IY291" s="115" t="n">
        <f aca="false">46*I291</f>
        <v>30.6666666666667</v>
      </c>
      <c r="IZ291" s="4" t="n">
        <f aca="false">12*$I291</f>
        <v>8</v>
      </c>
      <c r="JA291" s="115" t="n">
        <f aca="false">25*I291</f>
        <v>16.6666666666667</v>
      </c>
      <c r="JB291" s="115" t="n">
        <f aca="false">2*$I291</f>
        <v>1.33333333333333</v>
      </c>
    </row>
    <row collapsed="false" customFormat="false" customHeight="true" hidden="false" ht="12.95" outlineLevel="0" r="292">
      <c r="A292" s="112" t="s">
        <v>594</v>
      </c>
      <c r="B292" s="110"/>
      <c r="C292" s="111" t="n">
        <v>1400</v>
      </c>
      <c r="D292" s="272" t="s">
        <v>423</v>
      </c>
      <c r="E292" s="272"/>
      <c r="F292" s="273" t="n">
        <v>0</v>
      </c>
      <c r="G292" s="273" t="n">
        <v>2</v>
      </c>
      <c r="H292" s="273" t="n">
        <v>0</v>
      </c>
      <c r="I292" s="114" t="n">
        <f aca="false">SUM(F292:H292)/3</f>
        <v>0.666666666666667</v>
      </c>
      <c r="J292" s="137"/>
      <c r="K292" s="137"/>
      <c r="GJ292" s="4"/>
      <c r="HE292" s="4"/>
      <c r="IM292" s="4"/>
      <c r="IN292" s="4"/>
      <c r="IO292" s="4"/>
      <c r="IP292" s="4"/>
      <c r="IQ292" s="4"/>
      <c r="IR292" s="4"/>
      <c r="IS292" s="4"/>
      <c r="IT292" s="4"/>
      <c r="IU292" s="4" t="n">
        <f aca="false">15*$I292</f>
        <v>10</v>
      </c>
      <c r="IV292" s="4"/>
      <c r="IW292" s="4"/>
      <c r="IX292" s="4"/>
      <c r="IY292" s="4"/>
      <c r="IZ292" s="4"/>
      <c r="JA292" s="4"/>
      <c r="JB292" s="4"/>
    </row>
    <row collapsed="false" customFormat="true" customHeight="true" hidden="false" ht="12.75" outlineLevel="0" r="293" s="4">
      <c r="A293" s="133" t="s">
        <v>595</v>
      </c>
      <c r="B293" s="133"/>
      <c r="C293" s="134" t="n">
        <v>20803</v>
      </c>
      <c r="D293" s="135" t="s">
        <v>596</v>
      </c>
      <c r="E293" s="135"/>
      <c r="F293" s="136" t="n">
        <v>2</v>
      </c>
      <c r="G293" s="136" t="n">
        <f aca="false">2*2</f>
        <v>4</v>
      </c>
      <c r="H293" s="136" t="n">
        <v>3</v>
      </c>
      <c r="I293" s="102" t="n">
        <f aca="false">SUM(F293:H293)/3</f>
        <v>3</v>
      </c>
      <c r="J293" s="104"/>
      <c r="K293" s="104"/>
      <c r="R293" s="33" t="n">
        <f aca="false">100*I293</f>
        <v>300</v>
      </c>
      <c r="X293" s="132" t="n">
        <f aca="false">100*I293</f>
        <v>300</v>
      </c>
      <c r="CX293" s="35"/>
      <c r="GB293" s="34"/>
      <c r="GC293" s="116"/>
      <c r="GD293" s="116"/>
      <c r="GE293" s="116"/>
      <c r="GF293" s="116"/>
      <c r="GG293" s="116"/>
      <c r="GH293" s="116"/>
      <c r="GO293" s="29" t="n">
        <f aca="false">50*I293</f>
        <v>150</v>
      </c>
      <c r="HI293" s="34"/>
      <c r="HN293" s="34"/>
      <c r="HT293" s="29" t="n">
        <f aca="false">500*I293</f>
        <v>1500</v>
      </c>
      <c r="AMI293" s="0"/>
      <c r="AMJ293" s="0"/>
    </row>
    <row collapsed="false" customFormat="true" customHeight="true" hidden="false" ht="12.75" outlineLevel="0" r="294" s="4">
      <c r="A294" s="110" t="s">
        <v>597</v>
      </c>
      <c r="B294" s="110"/>
      <c r="C294" s="111" t="n">
        <v>866</v>
      </c>
      <c r="D294" s="110" t="s">
        <v>598</v>
      </c>
      <c r="E294" s="110"/>
      <c r="F294" s="238" t="n">
        <v>0</v>
      </c>
      <c r="G294" s="238" t="n">
        <v>0</v>
      </c>
      <c r="H294" s="238" t="n">
        <v>3</v>
      </c>
      <c r="I294" s="114" t="n">
        <f aca="false">SUM(F294:H294)/3</f>
        <v>1</v>
      </c>
      <c r="J294" s="104"/>
      <c r="K294" s="104"/>
      <c r="R294" s="34"/>
      <c r="CX294" s="35"/>
      <c r="GB294" s="34"/>
      <c r="GC294" s="116"/>
      <c r="GD294" s="116"/>
      <c r="GE294" s="116"/>
      <c r="GF294" s="116"/>
      <c r="GG294" s="116"/>
      <c r="GH294" s="116"/>
      <c r="GJ294" s="1"/>
      <c r="HI294" s="34"/>
      <c r="HN294" s="34"/>
      <c r="HV294" s="4" t="n">
        <f aca="false">500*$I294</f>
        <v>500</v>
      </c>
      <c r="AMI294" s="0"/>
      <c r="AMJ294" s="0"/>
    </row>
    <row collapsed="false" customFormat="false" customHeight="false" hidden="false" ht="12.8" outlineLevel="0" r="295">
      <c r="A295" s="118" t="s">
        <v>599</v>
      </c>
      <c r="B295" s="118"/>
      <c r="C295" s="119" t="n">
        <v>213</v>
      </c>
      <c r="D295" s="120" t="s">
        <v>600</v>
      </c>
      <c r="E295" s="120"/>
      <c r="F295" s="121" t="n">
        <f aca="false">2</f>
        <v>2</v>
      </c>
      <c r="G295" s="121" t="n">
        <f aca="false">2*2</f>
        <v>4</v>
      </c>
      <c r="H295" s="121" t="n">
        <v>0</v>
      </c>
      <c r="I295" s="102" t="n">
        <f aca="false">SUM(F295:H295)/3</f>
        <v>2</v>
      </c>
      <c r="J295" s="137"/>
      <c r="K295" s="137"/>
      <c r="HZ295" s="189" t="n">
        <f aca="false">1.5*I295</f>
        <v>3</v>
      </c>
    </row>
    <row collapsed="false" customFormat="false" customHeight="false" hidden="false" ht="12.8" outlineLevel="0" r="296">
      <c r="A296" s="124" t="s">
        <v>599</v>
      </c>
      <c r="B296" s="124"/>
      <c r="C296" s="95" t="n">
        <v>213</v>
      </c>
      <c r="D296" s="125" t="s">
        <v>600</v>
      </c>
      <c r="E296" s="125"/>
      <c r="F296" s="126" t="n">
        <v>2</v>
      </c>
      <c r="G296" s="126" t="n">
        <v>2</v>
      </c>
      <c r="H296" s="126" t="n">
        <v>0</v>
      </c>
      <c r="I296" s="108" t="n">
        <f aca="false">SUM(F296:H296)/3</f>
        <v>1.33333333333333</v>
      </c>
      <c r="J296" s="137"/>
      <c r="K296" s="137"/>
      <c r="HZ296" s="36" t="n">
        <f aca="false">1.5*I296</f>
        <v>2</v>
      </c>
    </row>
    <row collapsed="false" customFormat="true" customHeight="false" hidden="false" ht="12.8" outlineLevel="0" r="297" s="4">
      <c r="A297" s="110" t="s">
        <v>601</v>
      </c>
      <c r="B297" s="110"/>
      <c r="C297" s="111" t="n">
        <v>1018</v>
      </c>
      <c r="D297" s="112" t="s">
        <v>286</v>
      </c>
      <c r="E297" s="112"/>
      <c r="F297" s="113" t="n">
        <v>0</v>
      </c>
      <c r="G297" s="113" t="n">
        <v>0</v>
      </c>
      <c r="H297" s="113" t="n">
        <f aca="false">2*3</f>
        <v>6</v>
      </c>
      <c r="I297" s="114" t="n">
        <f aca="false">SUM(F297:H297)/3</f>
        <v>2</v>
      </c>
      <c r="J297" s="104"/>
      <c r="K297" s="104"/>
      <c r="R297" s="34"/>
      <c r="CX297" s="35"/>
      <c r="GB297" s="34"/>
      <c r="GC297" s="116"/>
      <c r="GD297" s="116"/>
      <c r="GE297" s="116"/>
      <c r="GF297" s="116"/>
      <c r="GG297" s="116"/>
      <c r="GH297" s="116"/>
      <c r="GJ297" s="1"/>
      <c r="HI297" s="34"/>
      <c r="HN297" s="34"/>
      <c r="AMI297" s="0"/>
      <c r="AMJ297" s="0"/>
    </row>
    <row collapsed="false" customFormat="false" customHeight="false" hidden="false" ht="12.8" outlineLevel="0" r="298">
      <c r="A298" s="133" t="s">
        <v>602</v>
      </c>
      <c r="B298" s="133"/>
      <c r="C298" s="134" t="n">
        <v>408</v>
      </c>
      <c r="D298" s="135" t="s">
        <v>296</v>
      </c>
      <c r="E298" s="135"/>
      <c r="F298" s="136" t="n">
        <v>0</v>
      </c>
      <c r="G298" s="136" t="n">
        <v>2</v>
      </c>
      <c r="H298" s="136" t="n">
        <v>3</v>
      </c>
      <c r="I298" s="102" t="n">
        <f aca="false">SUM(F298:H298)/3</f>
        <v>1.66666666666667</v>
      </c>
      <c r="J298" s="137"/>
      <c r="K298" s="137"/>
      <c r="DT298" s="146" t="n">
        <f aca="false">250*I298</f>
        <v>416.666666666667</v>
      </c>
      <c r="HZ298" s="4"/>
    </row>
    <row collapsed="false" customFormat="true" customHeight="true" hidden="false" ht="12.95" outlineLevel="0" r="299" s="4">
      <c r="A299" s="124" t="s">
        <v>602</v>
      </c>
      <c r="B299" s="124"/>
      <c r="C299" s="95" t="n">
        <v>408</v>
      </c>
      <c r="D299" s="125" t="s">
        <v>296</v>
      </c>
      <c r="E299" s="125"/>
      <c r="F299" s="126" t="n">
        <v>0</v>
      </c>
      <c r="G299" s="126" t="n">
        <v>0</v>
      </c>
      <c r="H299" s="126" t="n">
        <v>3</v>
      </c>
      <c r="I299" s="108" t="n">
        <f aca="false">SUM(F299:H299)/3</f>
        <v>1</v>
      </c>
      <c r="J299" s="104"/>
      <c r="K299" s="104"/>
      <c r="R299" s="34"/>
      <c r="CX299" s="35"/>
      <c r="DT299" s="36" t="n">
        <f aca="false">250*I299</f>
        <v>250</v>
      </c>
      <c r="GB299" s="34"/>
      <c r="GC299" s="116"/>
      <c r="GD299" s="116"/>
      <c r="GE299" s="116"/>
      <c r="GF299" s="116"/>
      <c r="GG299" s="116"/>
      <c r="GH299" s="116"/>
      <c r="GJ299" s="1"/>
      <c r="HI299" s="34"/>
      <c r="HN299" s="34"/>
      <c r="AMI299" s="0"/>
      <c r="AMJ299" s="0"/>
    </row>
    <row collapsed="false" customFormat="true" customHeight="true" hidden="false" ht="12.95" outlineLevel="0" r="300" s="4">
      <c r="A300" s="110" t="s">
        <v>603</v>
      </c>
      <c r="B300" s="110"/>
      <c r="C300" s="111" t="n">
        <v>427</v>
      </c>
      <c r="D300" s="112" t="s">
        <v>604</v>
      </c>
      <c r="E300" s="112"/>
      <c r="F300" s="113" t="n">
        <v>0</v>
      </c>
      <c r="G300" s="113" t="n">
        <v>2</v>
      </c>
      <c r="H300" s="113" t="n">
        <v>0</v>
      </c>
      <c r="I300" s="114" t="n">
        <f aca="false">SUM(F300:H300)/3</f>
        <v>0.666666666666667</v>
      </c>
      <c r="J300" s="104"/>
      <c r="K300" s="104"/>
      <c r="R300" s="34"/>
      <c r="CX300" s="35"/>
      <c r="GB300" s="34"/>
      <c r="GC300" s="116"/>
      <c r="GD300" s="116"/>
      <c r="GE300" s="116"/>
      <c r="GF300" s="116"/>
      <c r="GG300" s="116"/>
      <c r="GH300" s="116"/>
      <c r="GJ300" s="1"/>
      <c r="HI300" s="34"/>
      <c r="HN300" s="34"/>
      <c r="IA300" s="115" t="n">
        <f aca="false">5*I300</f>
        <v>3.33333333333333</v>
      </c>
      <c r="AMI300" s="0"/>
      <c r="AMJ300" s="0"/>
    </row>
    <row collapsed="false" customFormat="true" customHeight="true" hidden="false" ht="12.95" outlineLevel="0" r="301" s="4">
      <c r="A301" s="128" t="s">
        <v>605</v>
      </c>
      <c r="B301" s="128"/>
      <c r="C301" s="91" t="n">
        <v>1098</v>
      </c>
      <c r="D301" s="129" t="s">
        <v>606</v>
      </c>
      <c r="E301" s="129"/>
      <c r="F301" s="130" t="n">
        <v>0</v>
      </c>
      <c r="G301" s="130" t="n">
        <f aca="false">1.2*10.65/2 *2</f>
        <v>12.78</v>
      </c>
      <c r="H301" s="130" t="n">
        <v>0</v>
      </c>
      <c r="I301" s="131" t="n">
        <f aca="false">SUM(F301:H301)/3</f>
        <v>4.26</v>
      </c>
      <c r="J301" s="104"/>
      <c r="K301" s="104"/>
      <c r="L301" s="132" t="n">
        <f aca="false">750/10.65*$I301</f>
        <v>300</v>
      </c>
      <c r="R301" s="34"/>
      <c r="BJ301" s="132" t="n">
        <f aca="false">300/10.65*$I301</f>
        <v>120</v>
      </c>
      <c r="CX301" s="35"/>
      <c r="EO301" s="132" t="n">
        <f aca="false">400/10.65*$I301</f>
        <v>160</v>
      </c>
      <c r="GB301" s="34"/>
      <c r="GC301" s="116"/>
      <c r="GD301" s="116"/>
      <c r="GE301" s="116"/>
      <c r="GF301" s="116"/>
      <c r="GG301" s="116"/>
      <c r="GH301" s="116"/>
      <c r="GJ301" s="1"/>
      <c r="HI301" s="34"/>
      <c r="HN301" s="34"/>
      <c r="IA301" s="115"/>
      <c r="AMI301" s="0"/>
      <c r="AMJ301" s="0"/>
    </row>
    <row collapsed="false" customFormat="true" customHeight="true" hidden="false" ht="12.95" outlineLevel="0" r="302" s="4">
      <c r="A302" s="124" t="s">
        <v>605</v>
      </c>
      <c r="B302" s="124"/>
      <c r="C302" s="95" t="n">
        <v>1098</v>
      </c>
      <c r="D302" s="125" t="s">
        <v>606</v>
      </c>
      <c r="E302" s="125"/>
      <c r="F302" s="126" t="n">
        <v>0</v>
      </c>
      <c r="G302" s="126" t="n">
        <f aca="false">0.8*10.65/2 *2</f>
        <v>8.52</v>
      </c>
      <c r="H302" s="126" t="n">
        <v>0</v>
      </c>
      <c r="I302" s="108" t="n">
        <f aca="false">SUM(F302:H302)/3</f>
        <v>2.84</v>
      </c>
      <c r="J302" s="104"/>
      <c r="K302" s="104"/>
      <c r="L302" s="36" t="n">
        <f aca="false">750/10.65*$I302</f>
        <v>200</v>
      </c>
      <c r="R302" s="34"/>
      <c r="BJ302" s="36" t="n">
        <f aca="false">300/10.65*$I302</f>
        <v>80</v>
      </c>
      <c r="CX302" s="35"/>
      <c r="EO302" s="40" t="n">
        <f aca="false">400/10.65*$I302</f>
        <v>106.666666666667</v>
      </c>
      <c r="GB302" s="34"/>
      <c r="GC302" s="116"/>
      <c r="GD302" s="116"/>
      <c r="GE302" s="116"/>
      <c r="GF302" s="116"/>
      <c r="GG302" s="116"/>
      <c r="GH302" s="116"/>
      <c r="GJ302" s="1"/>
      <c r="HI302" s="34"/>
      <c r="HN302" s="34"/>
      <c r="IA302" s="115"/>
      <c r="AMI302" s="0"/>
      <c r="AMJ302" s="0"/>
    </row>
    <row collapsed="false" customFormat="false" customHeight="false" hidden="false" ht="12.8" outlineLevel="0" r="303">
      <c r="A303" s="141" t="s">
        <v>607</v>
      </c>
      <c r="B303" s="141"/>
      <c r="C303" s="179" t="n">
        <v>1094</v>
      </c>
      <c r="D303" s="143" t="s">
        <v>608</v>
      </c>
      <c r="E303" s="143"/>
      <c r="F303" s="144" t="n">
        <v>0</v>
      </c>
      <c r="G303" s="144" t="n">
        <f aca="false">(3/5*160/4)*2</f>
        <v>48</v>
      </c>
      <c r="H303" s="144" t="n">
        <v>0</v>
      </c>
      <c r="I303" s="180" t="n">
        <f aca="false">SUM(F303:H303)/3</f>
        <v>16</v>
      </c>
      <c r="J303" s="104"/>
      <c r="K303" s="104"/>
      <c r="L303" s="4"/>
      <c r="M303" s="4"/>
      <c r="N303" s="181" t="n">
        <f aca="false">1.04/20*$I303*1000</f>
        <v>832</v>
      </c>
      <c r="O303" s="4"/>
      <c r="U303" s="145" t="n">
        <f aca="false">0.0475/20*I303*1000</f>
        <v>38</v>
      </c>
      <c r="V303" s="145" t="n">
        <f aca="false">0.36/20*$I303*1000</f>
        <v>288</v>
      </c>
      <c r="Y303" s="145" t="n">
        <f aca="false">2.02/20*$I303*1000</f>
        <v>1616</v>
      </c>
      <c r="AQ303" s="29" t="n">
        <f aca="false">83/20*I303</f>
        <v>66.4</v>
      </c>
      <c r="AS303" s="4"/>
      <c r="AT303" s="4"/>
      <c r="AU303" s="4"/>
      <c r="AV303" s="4"/>
      <c r="BO303" s="181" t="n">
        <f aca="false">0.42/20*$I303*1000</f>
        <v>336</v>
      </c>
      <c r="DJ303" s="181" t="n">
        <f aca="false">2.75/20*$I303*1000</f>
        <v>2200</v>
      </c>
      <c r="DL303" s="181" t="n">
        <f aca="false">0.29/20*$I303*1000</f>
        <v>232</v>
      </c>
      <c r="DM303" s="4"/>
      <c r="DS303" s="181" t="n">
        <f aca="false">0.22/20*$I303*1000</f>
        <v>176</v>
      </c>
      <c r="EC303" s="181" t="n">
        <f aca="false">1.2/20*$I303*1000</f>
        <v>960</v>
      </c>
      <c r="ED303" s="181" t="n">
        <f aca="false">1.8/20*$I303*1000</f>
        <v>1440</v>
      </c>
      <c r="EE303" s="181" t="n">
        <f aca="false">1.56/20*$I303*1000</f>
        <v>1248</v>
      </c>
      <c r="ES303" s="181" t="n">
        <f aca="false">0.36/20*$I303*1000</f>
        <v>288</v>
      </c>
      <c r="FM303" s="181" t="n">
        <f aca="false">0.52/20*$I303*1000</f>
        <v>416</v>
      </c>
      <c r="FS303" s="181" t="n">
        <f aca="false">42/20*I303</f>
        <v>33.6</v>
      </c>
      <c r="FT303" s="4"/>
      <c r="FU303" s="4"/>
      <c r="GC303" s="274" t="n">
        <f aca="false">1.12/20*$I303*1000</f>
        <v>896</v>
      </c>
      <c r="GD303" s="116"/>
      <c r="GE303" s="116"/>
      <c r="GF303" s="116"/>
      <c r="GG303" s="116"/>
      <c r="GH303" s="116"/>
      <c r="HD303" s="181" t="n">
        <f aca="false">0.84/20*$I303*1000</f>
        <v>672</v>
      </c>
      <c r="HK303" s="132" t="n">
        <f aca="false">35*I303/20</f>
        <v>28</v>
      </c>
      <c r="HS303" s="181" t="n">
        <f aca="false">1.36/20*$I303*1000</f>
        <v>1088</v>
      </c>
      <c r="HV303" s="181" t="n">
        <f aca="false">0.16/20*I303*1000</f>
        <v>128</v>
      </c>
      <c r="HW303" s="181" t="n">
        <f aca="false">0.44/20*$I303*1000</f>
        <v>352</v>
      </c>
      <c r="HX303" s="181" t="n">
        <f aca="false">1.08/20*$I303*1000</f>
        <v>864</v>
      </c>
      <c r="HY303" s="4"/>
      <c r="JH303" s="263" t="n">
        <f aca="false">19.9/20*$I303</f>
        <v>15.92</v>
      </c>
    </row>
    <row collapsed="false" customFormat="false" customHeight="false" hidden="false" ht="12.8" outlineLevel="0" r="304">
      <c r="A304" s="124" t="s">
        <v>607</v>
      </c>
      <c r="B304" s="124"/>
      <c r="C304" s="95" t="n">
        <v>1094</v>
      </c>
      <c r="D304" s="125" t="s">
        <v>608</v>
      </c>
      <c r="E304" s="125"/>
      <c r="F304" s="126" t="n">
        <v>0</v>
      </c>
      <c r="G304" s="126" t="n">
        <f aca="false">(2/5*160/4)*2</f>
        <v>32</v>
      </c>
      <c r="H304" s="126" t="n">
        <v>0</v>
      </c>
      <c r="I304" s="108" t="n">
        <f aca="false">SUM(F304:H304)/3</f>
        <v>10.6666666666667</v>
      </c>
      <c r="J304" s="137"/>
      <c r="K304" s="137"/>
      <c r="N304" s="127" t="n">
        <f aca="false">1.04/20*$I304*1000</f>
        <v>554.666666666667</v>
      </c>
      <c r="U304" s="127" t="n">
        <f aca="false">0.0475/20*I304*1000</f>
        <v>25.3333333333333</v>
      </c>
      <c r="V304" s="127" t="n">
        <f aca="false">0.36/20*$I304*1000</f>
        <v>192</v>
      </c>
      <c r="Y304" s="127" t="n">
        <f aca="false">2.02/20*$I304*1000</f>
        <v>1077.33333333333</v>
      </c>
      <c r="AQ304" s="127" t="n">
        <f aca="false">83/20*I304</f>
        <v>44.2666666666667</v>
      </c>
      <c r="AV304" s="4"/>
      <c r="BO304" s="127" t="n">
        <f aca="false">0.42/20*$I304*1000</f>
        <v>224</v>
      </c>
      <c r="DJ304" s="127" t="n">
        <f aca="false">2.75/20*$I304*1000</f>
        <v>1466.66666666667</v>
      </c>
      <c r="DL304" s="127" t="n">
        <f aca="false">0.29/20*$I304*1000</f>
        <v>154.666666666667</v>
      </c>
      <c r="DM304" s="4"/>
      <c r="DS304" s="40" t="n">
        <f aca="false">0.22/20*$I304*1000</f>
        <v>117.333333333333</v>
      </c>
      <c r="EC304" s="40" t="n">
        <f aca="false">1.2/20*$I304*1000</f>
        <v>640</v>
      </c>
      <c r="ED304" s="127" t="n">
        <f aca="false">1.8/20*$I304*1000</f>
        <v>960</v>
      </c>
      <c r="EE304" s="127" t="n">
        <f aca="false">1.56/20*$I304*1000</f>
        <v>832</v>
      </c>
      <c r="ES304" s="127" t="n">
        <f aca="false">0.36/20*$I304*1000</f>
        <v>192</v>
      </c>
      <c r="FM304" s="127" t="n">
        <f aca="false">0.52/20*$I304*1000</f>
        <v>277.333333333333</v>
      </c>
      <c r="FS304" s="127" t="n">
        <f aca="false">42/20*I304</f>
        <v>22.4</v>
      </c>
      <c r="FT304" s="4"/>
      <c r="FU304" s="4"/>
      <c r="GC304" s="275" t="n">
        <f aca="false">1.12/20*$I304*1000</f>
        <v>597.333333333333</v>
      </c>
      <c r="GD304" s="116"/>
      <c r="GE304" s="116"/>
      <c r="GF304" s="116"/>
      <c r="GG304" s="116"/>
      <c r="GH304" s="116"/>
      <c r="HD304" s="127" t="n">
        <f aca="false">0.84/20*$I304*1000</f>
        <v>448</v>
      </c>
      <c r="HK304" s="36" t="n">
        <f aca="false">35*I304/20</f>
        <v>18.6666666666667</v>
      </c>
      <c r="HS304" s="40" t="n">
        <f aca="false">1.36/20*$I304*1000</f>
        <v>725.333333333333</v>
      </c>
      <c r="HV304" s="40" t="n">
        <f aca="false">0.16/20*I304*1000</f>
        <v>85.3333333333333</v>
      </c>
      <c r="HW304" s="40" t="n">
        <f aca="false">0.44/20*$I304*1000</f>
        <v>234.666666666667</v>
      </c>
      <c r="HX304" s="40" t="n">
        <f aca="false">1.08/20*$I304*1000</f>
        <v>576</v>
      </c>
      <c r="HY304" s="115"/>
      <c r="JH304" s="264" t="n">
        <f aca="false">19.9/20*$I304</f>
        <v>10.6133333333333</v>
      </c>
    </row>
    <row collapsed="false" customFormat="false" customHeight="false" hidden="false" ht="12.8" outlineLevel="0" r="305">
      <c r="A305" s="133" t="s">
        <v>609</v>
      </c>
      <c r="B305" s="133"/>
      <c r="C305" s="276" t="n">
        <v>12759</v>
      </c>
      <c r="D305" s="135" t="s">
        <v>610</v>
      </c>
      <c r="E305" s="135"/>
      <c r="F305" s="136" t="n">
        <v>0</v>
      </c>
      <c r="G305" s="136" t="n">
        <v>0</v>
      </c>
      <c r="H305" s="136" t="n">
        <f aca="false">2*3</f>
        <v>6</v>
      </c>
      <c r="I305" s="102" t="n">
        <f aca="false">SUM(F305:H305)/3</f>
        <v>2</v>
      </c>
      <c r="J305" s="137"/>
      <c r="K305" s="137"/>
      <c r="X305" s="29" t="n">
        <f aca="false">300/3*I305</f>
        <v>200</v>
      </c>
      <c r="BT305" s="29" t="n">
        <f aca="false">150/3*I305</f>
        <v>100</v>
      </c>
      <c r="CG305" s="29" t="n">
        <f aca="false">150/3*I305</f>
        <v>100</v>
      </c>
      <c r="CK305" s="29" t="n">
        <f aca="false">150/3*I305</f>
        <v>100</v>
      </c>
      <c r="CL305" s="4"/>
      <c r="CM305" s="4"/>
      <c r="DA305" s="29" t="n">
        <f aca="false">0.05*6/3*I305</f>
        <v>0.2</v>
      </c>
      <c r="DB305" s="29" t="n">
        <f aca="false">30/3*I305</f>
        <v>20</v>
      </c>
      <c r="EV305" s="29" t="n">
        <f aca="false">150/3*I305</f>
        <v>100</v>
      </c>
      <c r="EW305" s="4"/>
      <c r="EX305" s="4"/>
      <c r="FU305" s="29" t="n">
        <f aca="false">0.95*6/3*I305</f>
        <v>3.8</v>
      </c>
      <c r="HT305" s="29" t="n">
        <f aca="false">150/3*I305</f>
        <v>100</v>
      </c>
      <c r="HY305" s="0"/>
      <c r="JJ305" s="263" t="n">
        <f aca="false">450/3*0.15*$I305</f>
        <v>45</v>
      </c>
    </row>
    <row collapsed="false" customFormat="true" customHeight="false" hidden="false" ht="12.8" outlineLevel="0" r="306" s="182">
      <c r="A306" s="124" t="s">
        <v>609</v>
      </c>
      <c r="B306" s="124"/>
      <c r="C306" s="277" t="n">
        <v>12759</v>
      </c>
      <c r="D306" s="125" t="s">
        <v>610</v>
      </c>
      <c r="E306" s="125"/>
      <c r="F306" s="126" t="n">
        <v>0</v>
      </c>
      <c r="G306" s="126" t="n">
        <v>0</v>
      </c>
      <c r="H306" s="126" t="n">
        <f aca="false">1*3</f>
        <v>3</v>
      </c>
      <c r="I306" s="108" t="n">
        <f aca="false">SUM(F306:H306)/3</f>
        <v>1</v>
      </c>
      <c r="J306" s="104"/>
      <c r="K306" s="104"/>
      <c r="L306" s="4"/>
      <c r="M306" s="4"/>
      <c r="N306" s="4"/>
      <c r="O306" s="4"/>
      <c r="P306" s="4"/>
      <c r="Q306" s="4"/>
      <c r="R306" s="34"/>
      <c r="S306" s="4"/>
      <c r="T306" s="4"/>
      <c r="U306" s="4"/>
      <c r="V306" s="4"/>
      <c r="W306" s="4"/>
      <c r="X306" s="36" t="n">
        <f aca="false">300/3*I306</f>
        <v>100</v>
      </c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36" t="n">
        <f aca="false">150/3*I306</f>
        <v>50</v>
      </c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36" t="n">
        <f aca="false">150/3*I306</f>
        <v>50</v>
      </c>
      <c r="CH306" s="4"/>
      <c r="CI306" s="4"/>
      <c r="CJ306" s="4"/>
      <c r="CK306" s="36" t="n">
        <f aca="false">150/3*I306</f>
        <v>50</v>
      </c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35"/>
      <c r="CY306" s="4"/>
      <c r="CZ306" s="4"/>
      <c r="DA306" s="36" t="n">
        <f aca="false">0.05*6/3*I306</f>
        <v>0.1</v>
      </c>
      <c r="DB306" s="36" t="n">
        <f aca="false">30/3*I306</f>
        <v>10</v>
      </c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36" t="n">
        <f aca="false">150/3*I306</f>
        <v>50</v>
      </c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36" t="n">
        <f aca="false">0.95*6/3*I306</f>
        <v>1.9</v>
      </c>
      <c r="FV306" s="4"/>
      <c r="FW306" s="4"/>
      <c r="FX306" s="4"/>
      <c r="FY306" s="4"/>
      <c r="FZ306" s="4"/>
      <c r="GA306" s="4"/>
      <c r="GB306" s="34"/>
      <c r="GC306" s="116"/>
      <c r="GD306" s="116"/>
      <c r="GE306" s="116"/>
      <c r="GF306" s="116"/>
      <c r="GG306" s="116"/>
      <c r="GH306" s="116"/>
      <c r="GI306" s="4"/>
      <c r="GJ306" s="1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34"/>
      <c r="HJ306" s="4"/>
      <c r="HK306" s="4"/>
      <c r="HL306" s="4"/>
      <c r="HM306" s="4"/>
      <c r="HN306" s="34"/>
      <c r="HO306" s="4"/>
      <c r="HP306" s="4"/>
      <c r="HQ306" s="4"/>
      <c r="HR306" s="4"/>
      <c r="HS306" s="4"/>
      <c r="HT306" s="36" t="n">
        <f aca="false">150/3*I306</f>
        <v>50</v>
      </c>
      <c r="HU306" s="4"/>
      <c r="HV306" s="4"/>
      <c r="HW306" s="4"/>
      <c r="HX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J306" s="264" t="n">
        <f aca="false">450/3*0.15*$I306</f>
        <v>22.5</v>
      </c>
      <c r="AMI306" s="0"/>
      <c r="AMJ306" s="0"/>
    </row>
    <row collapsed="false" customFormat="false" customHeight="false" hidden="false" ht="12.8" outlineLevel="0" r="307">
      <c r="A307" s="110" t="s">
        <v>611</v>
      </c>
      <c r="B307" s="110"/>
      <c r="C307" s="111" t="n">
        <v>1286</v>
      </c>
      <c r="D307" s="112" t="s">
        <v>423</v>
      </c>
      <c r="E307" s="112"/>
      <c r="F307" s="113" t="n">
        <v>2</v>
      </c>
      <c r="G307" s="113" t="n">
        <v>2</v>
      </c>
      <c r="H307" s="113" t="n">
        <v>0</v>
      </c>
      <c r="I307" s="114" t="n">
        <f aca="false">SUM(F307:H307)/3</f>
        <v>1.33333333333333</v>
      </c>
      <c r="J307" s="104"/>
      <c r="K307" s="104"/>
      <c r="T307" s="1" t="n">
        <f aca="false">2.2*I307</f>
        <v>2.93333333333333</v>
      </c>
      <c r="AA307" s="1" t="n">
        <f aca="false">6*1000*$I307</f>
        <v>8000</v>
      </c>
      <c r="EI307" s="51"/>
      <c r="HE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</row>
    <row collapsed="false" customFormat="true" customHeight="false" hidden="false" ht="12.8" outlineLevel="0" r="308" s="182">
      <c r="A308" s="110" t="s">
        <v>612</v>
      </c>
      <c r="B308" s="110"/>
      <c r="C308" s="111" t="n">
        <v>1051</v>
      </c>
      <c r="D308" s="112" t="s">
        <v>406</v>
      </c>
      <c r="E308" s="112"/>
      <c r="F308" s="113" t="n">
        <v>0</v>
      </c>
      <c r="G308" s="113" t="n">
        <f aca="false">2*2</f>
        <v>4</v>
      </c>
      <c r="H308" s="113" t="n">
        <v>0</v>
      </c>
      <c r="I308" s="114" t="n">
        <f aca="false">SUM(F308:H308)/3</f>
        <v>1.33333333333333</v>
      </c>
      <c r="J308" s="104"/>
      <c r="K308" s="104"/>
      <c r="L308" s="4"/>
      <c r="M308" s="4"/>
      <c r="N308" s="4"/>
      <c r="O308" s="4"/>
      <c r="P308" s="4"/>
      <c r="Q308" s="4"/>
      <c r="R308" s="3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 t="n">
        <f aca="false">(2.4+4.3)/2*$I308</f>
        <v>4.46666666666667</v>
      </c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 t="n">
        <f aca="false">7/2*$I308</f>
        <v>4.66666666666667</v>
      </c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35"/>
      <c r="CY308" s="4"/>
      <c r="CZ308" s="4"/>
      <c r="DA308" s="4" t="n">
        <f aca="false">17.6/2*$I308</f>
        <v>11.7333333333333</v>
      </c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115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 t="n">
        <f aca="false">45*$I308</f>
        <v>60</v>
      </c>
      <c r="FW308" s="4"/>
      <c r="FX308" s="4"/>
      <c r="FY308" s="4"/>
      <c r="FZ308" s="4"/>
      <c r="GA308" s="4"/>
      <c r="GB308" s="34"/>
      <c r="GC308" s="116"/>
      <c r="GD308" s="116"/>
      <c r="GE308" s="116"/>
      <c r="GF308" s="116"/>
      <c r="GG308" s="116"/>
      <c r="GH308" s="116"/>
      <c r="GI308" s="4"/>
      <c r="GJ308" s="4"/>
      <c r="GK308" s="4"/>
      <c r="GL308" s="4"/>
      <c r="GM308" s="4"/>
      <c r="GN308" s="4" t="n">
        <f aca="false">6.4/2*$I308</f>
        <v>4.26666666666667</v>
      </c>
      <c r="GO308" s="4"/>
      <c r="GP308" s="4"/>
      <c r="GQ308" s="4"/>
      <c r="GR308" s="4"/>
      <c r="GS308" s="4" t="n">
        <f aca="false">150/2*$I308</f>
        <v>100</v>
      </c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34"/>
      <c r="HJ308" s="4"/>
      <c r="HK308" s="4"/>
      <c r="HL308" s="4"/>
      <c r="HM308" s="4"/>
      <c r="HN308" s="3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 t="n">
        <f aca="false">2/2*$I308</f>
        <v>1.33333333333333</v>
      </c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</row>
    <row collapsed="false" customFormat="false" customHeight="false" hidden="false" ht="12.8" outlineLevel="0" r="309">
      <c r="A309" s="138"/>
      <c r="B309" s="138"/>
      <c r="C309" s="278"/>
      <c r="D309" s="139"/>
      <c r="E309" s="139"/>
      <c r="F309" s="140"/>
      <c r="G309" s="140"/>
      <c r="H309" s="140"/>
      <c r="I309" s="279"/>
      <c r="J309" s="280"/>
      <c r="K309" s="280"/>
      <c r="BT309" s="0"/>
    </row>
    <row collapsed="false" customFormat="false" customHeight="false" hidden="false" ht="12.8" outlineLevel="0" r="310">
      <c r="A310" s="138"/>
      <c r="B310" s="137"/>
      <c r="C310" s="278"/>
      <c r="D310" s="104"/>
      <c r="E310" s="104"/>
      <c r="F310" s="281"/>
      <c r="G310" s="281"/>
      <c r="H310" s="281"/>
      <c r="I310" s="282"/>
      <c r="J310" s="104"/>
      <c r="K310" s="104"/>
      <c r="L310" s="283"/>
      <c r="M310" s="283"/>
      <c r="N310" s="283"/>
      <c r="O310" s="283"/>
      <c r="AS310" s="283"/>
      <c r="AT310" s="283"/>
      <c r="AU310" s="283"/>
    </row>
    <row collapsed="false" customFormat="false" customHeight="false" hidden="false" ht="12.8" outlineLevel="0" r="311">
      <c r="A311" s="284" t="s">
        <v>613</v>
      </c>
      <c r="B311" s="138"/>
      <c r="C311" s="278"/>
      <c r="D311" s="139"/>
      <c r="E311" s="139"/>
      <c r="F311" s="140"/>
      <c r="G311" s="140"/>
      <c r="H311" s="140"/>
      <c r="I311" s="279" t="s">
        <v>614</v>
      </c>
      <c r="J311" s="137"/>
      <c r="K311" s="137"/>
    </row>
    <row collapsed="false" customFormat="false" customHeight="false" hidden="false" ht="12.8" outlineLevel="0" r="312">
      <c r="A312" s="133" t="s">
        <v>615</v>
      </c>
      <c r="B312" s="133"/>
      <c r="C312" s="276" t="s">
        <v>616</v>
      </c>
      <c r="D312" s="135" t="s">
        <v>617</v>
      </c>
      <c r="E312" s="135"/>
      <c r="F312" s="136"/>
      <c r="G312" s="136"/>
      <c r="H312" s="136"/>
      <c r="I312" s="285" t="n">
        <v>0.2</v>
      </c>
      <c r="J312" s="137"/>
      <c r="K312" s="137"/>
    </row>
    <row collapsed="false" customFormat="false" customHeight="false" hidden="false" ht="12.8" outlineLevel="0" r="313">
      <c r="A313" s="124" t="s">
        <v>615</v>
      </c>
      <c r="B313" s="124"/>
      <c r="C313" s="277" t="s">
        <v>616</v>
      </c>
      <c r="D313" s="125" t="s">
        <v>617</v>
      </c>
      <c r="E313" s="125"/>
      <c r="F313" s="126"/>
      <c r="G313" s="126"/>
      <c r="H313" s="126"/>
      <c r="I313" s="286" t="n">
        <v>0</v>
      </c>
      <c r="J313" s="137"/>
      <c r="K313" s="137"/>
    </row>
    <row collapsed="false" customFormat="false" customHeight="true" hidden="false" ht="12.75" outlineLevel="0" r="314">
      <c r="A314" s="287" t="s">
        <v>618</v>
      </c>
      <c r="B314" s="287" t="s">
        <v>619</v>
      </c>
      <c r="C314" s="276"/>
      <c r="D314" s="143" t="s">
        <v>620</v>
      </c>
      <c r="E314" s="143"/>
      <c r="F314" s="144"/>
      <c r="G314" s="144"/>
      <c r="H314" s="144"/>
      <c r="I314" s="285" t="n">
        <f aca="false">0.15*2/3</f>
        <v>0.1</v>
      </c>
      <c r="J314" s="104"/>
      <c r="K314" s="104"/>
    </row>
    <row collapsed="false" customFormat="false" customHeight="true" hidden="false" ht="12.75" outlineLevel="0" r="315">
      <c r="A315" s="288" t="s">
        <v>618</v>
      </c>
      <c r="B315" s="288" t="s">
        <v>619</v>
      </c>
      <c r="C315" s="277"/>
      <c r="D315" s="125" t="s">
        <v>620</v>
      </c>
      <c r="E315" s="125"/>
      <c r="F315" s="126"/>
      <c r="G315" s="126"/>
      <c r="H315" s="126"/>
      <c r="I315" s="286" t="n">
        <v>0</v>
      </c>
      <c r="J315" s="104"/>
      <c r="K315" s="104"/>
    </row>
    <row collapsed="false" customFormat="false" customHeight="true" hidden="false" ht="12.75" outlineLevel="0" r="316">
      <c r="A316" s="287" t="s">
        <v>621</v>
      </c>
      <c r="B316" s="287" t="s">
        <v>619</v>
      </c>
      <c r="C316" s="276"/>
      <c r="D316" s="143" t="s">
        <v>620</v>
      </c>
      <c r="E316" s="143"/>
      <c r="F316" s="144"/>
      <c r="G316" s="144"/>
      <c r="H316" s="144"/>
      <c r="I316" s="285" t="n">
        <f aca="false">0.2*2/3+(0.2*4)*1/3+0.2</f>
        <v>0.6</v>
      </c>
      <c r="J316" s="104"/>
      <c r="K316" s="104"/>
    </row>
    <row collapsed="false" customFormat="false" customHeight="true" hidden="false" ht="12.75" outlineLevel="0" r="317">
      <c r="A317" s="288" t="s">
        <v>621</v>
      </c>
      <c r="B317" s="288" t="s">
        <v>619</v>
      </c>
      <c r="C317" s="277"/>
      <c r="D317" s="125" t="s">
        <v>620</v>
      </c>
      <c r="E317" s="125"/>
      <c r="F317" s="126"/>
      <c r="G317" s="126"/>
      <c r="H317" s="126"/>
      <c r="I317" s="286" t="n">
        <f aca="false">0*2/3+0.07*1/3+0</f>
        <v>0.0233333333333333</v>
      </c>
      <c r="J317" s="104"/>
      <c r="K317" s="104"/>
    </row>
    <row collapsed="false" customFormat="false" customHeight="true" hidden="false" ht="12.75" outlineLevel="0" r="318">
      <c r="A318" s="287" t="s">
        <v>622</v>
      </c>
      <c r="B318" s="287"/>
      <c r="C318" s="276"/>
      <c r="D318" s="135" t="s">
        <v>623</v>
      </c>
      <c r="E318" s="135"/>
      <c r="F318" s="136" t="n">
        <v>0</v>
      </c>
      <c r="G318" s="289" t="n">
        <f aca="false">1.2*0.09*2</f>
        <v>0.216</v>
      </c>
      <c r="H318" s="136" t="n">
        <v>0</v>
      </c>
      <c r="I318" s="290" t="n">
        <f aca="false">SUM(F318:H318)/3</f>
        <v>0.072</v>
      </c>
      <c r="J318" s="104"/>
      <c r="K318" s="104"/>
    </row>
    <row collapsed="false" customFormat="false" customHeight="true" hidden="false" ht="12.75" outlineLevel="0" r="319">
      <c r="A319" s="288" t="s">
        <v>622</v>
      </c>
      <c r="B319" s="288"/>
      <c r="C319" s="277"/>
      <c r="D319" s="125" t="s">
        <v>623</v>
      </c>
      <c r="E319" s="125"/>
      <c r="F319" s="126" t="n">
        <v>0</v>
      </c>
      <c r="G319" s="291" t="n">
        <f aca="false">0.8*0.09*2</f>
        <v>0.144</v>
      </c>
      <c r="H319" s="126" t="n">
        <v>0</v>
      </c>
      <c r="I319" s="292" t="n">
        <f aca="false">0.096*2/3</f>
        <v>0.064</v>
      </c>
      <c r="J319" s="104"/>
      <c r="K319" s="104"/>
    </row>
    <row collapsed="false" customFormat="false" customHeight="true" hidden="false" ht="12.75" outlineLevel="0" r="320">
      <c r="A320" s="293" t="s">
        <v>624</v>
      </c>
      <c r="B320" s="294" t="s">
        <v>619</v>
      </c>
      <c r="C320" s="294"/>
      <c r="D320" s="143" t="s">
        <v>620</v>
      </c>
      <c r="E320" s="143"/>
      <c r="F320" s="144" t="n">
        <v>0</v>
      </c>
      <c r="G320" s="295" t="n">
        <f aca="false">1.2*0.3*2</f>
        <v>0.72</v>
      </c>
      <c r="H320" s="144" t="n">
        <v>0</v>
      </c>
      <c r="I320" s="290" t="n">
        <f aca="false">SUM(F320:H320)/3</f>
        <v>0.24</v>
      </c>
      <c r="J320" s="104"/>
      <c r="K320" s="104"/>
    </row>
    <row collapsed="false" customFormat="false" customHeight="false" hidden="false" ht="12.8" outlineLevel="0" r="321">
      <c r="A321" s="288" t="s">
        <v>624</v>
      </c>
      <c r="B321" s="277" t="s">
        <v>619</v>
      </c>
      <c r="C321" s="277"/>
      <c r="D321" s="125" t="s">
        <v>620</v>
      </c>
      <c r="E321" s="125"/>
      <c r="F321" s="126" t="n">
        <v>0</v>
      </c>
      <c r="G321" s="291" t="n">
        <f aca="false">0.8*0.3*2</f>
        <v>0.48</v>
      </c>
      <c r="H321" s="126" t="n">
        <v>0</v>
      </c>
      <c r="I321" s="292" t="n">
        <f aca="false">0.096*2/3</f>
        <v>0.064</v>
      </c>
      <c r="J321" s="104"/>
      <c r="K321" s="104"/>
    </row>
    <row collapsed="false" customFormat="true" customHeight="false" hidden="false" ht="12.8" outlineLevel="0" r="322" s="182">
      <c r="A322" s="167" t="s">
        <v>625</v>
      </c>
      <c r="B322" s="296"/>
      <c r="C322" s="296" t="s">
        <v>626</v>
      </c>
      <c r="D322" s="169" t="s">
        <v>296</v>
      </c>
      <c r="E322" s="169" t="n">
        <f aca="false">0*2</f>
        <v>0</v>
      </c>
      <c r="F322" s="170" t="n">
        <v>0</v>
      </c>
      <c r="G322" s="170" t="n">
        <v>0</v>
      </c>
      <c r="H322" s="170" t="n">
        <v>0</v>
      </c>
      <c r="I322" s="297" t="n">
        <f aca="false">SUM(E322:H322)/3</f>
        <v>0</v>
      </c>
      <c r="J322" s="104"/>
      <c r="K322" s="104"/>
      <c r="L322" s="4"/>
      <c r="M322" s="4"/>
      <c r="N322" s="4"/>
      <c r="O322" s="4"/>
      <c r="P322" s="4"/>
      <c r="Q322" s="4"/>
      <c r="R322" s="3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35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34"/>
      <c r="GC322" s="116"/>
      <c r="GD322" s="116"/>
      <c r="GE322" s="116"/>
      <c r="GF322" s="116"/>
      <c r="GG322" s="116"/>
      <c r="GH322" s="116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34"/>
      <c r="HJ322" s="4"/>
      <c r="HK322" s="4"/>
      <c r="HL322" s="4"/>
      <c r="HM322" s="4"/>
      <c r="HN322" s="3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</row>
    <row collapsed="false" customFormat="true" customHeight="false" hidden="false" ht="12.8" outlineLevel="0" r="323" s="182">
      <c r="A323" s="167" t="s">
        <v>625</v>
      </c>
      <c r="B323" s="296"/>
      <c r="C323" s="296" t="s">
        <v>626</v>
      </c>
      <c r="D323" s="169" t="s">
        <v>296</v>
      </c>
      <c r="E323" s="169" t="n">
        <v>0</v>
      </c>
      <c r="F323" s="170" t="n">
        <v>0</v>
      </c>
      <c r="G323" s="170" t="n">
        <v>0</v>
      </c>
      <c r="H323" s="170" t="n">
        <v>0</v>
      </c>
      <c r="I323" s="297" t="n">
        <f aca="false">SUM(E323:H323)/3</f>
        <v>0</v>
      </c>
      <c r="J323" s="104"/>
      <c r="K323" s="104"/>
      <c r="L323" s="4"/>
      <c r="M323" s="4"/>
      <c r="N323" s="4"/>
      <c r="O323" s="4"/>
      <c r="P323" s="4"/>
      <c r="Q323" s="4"/>
      <c r="R323" s="3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35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34"/>
      <c r="GC323" s="116"/>
      <c r="GD323" s="116"/>
      <c r="GE323" s="116"/>
      <c r="GF323" s="116"/>
      <c r="GG323" s="116"/>
      <c r="GH323" s="116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34"/>
      <c r="HJ323" s="4"/>
      <c r="HK323" s="4"/>
      <c r="HL323" s="4"/>
      <c r="HM323" s="4"/>
      <c r="HN323" s="3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</row>
    <row collapsed="false" customFormat="true" customHeight="false" hidden="false" ht="12.8" outlineLevel="0" r="324" s="4">
      <c r="A324" s="298" t="s">
        <v>627</v>
      </c>
      <c r="B324" s="299"/>
      <c r="C324" s="299"/>
      <c r="D324" s="129" t="s">
        <v>620</v>
      </c>
      <c r="E324" s="129"/>
      <c r="F324" s="130" t="n">
        <v>0</v>
      </c>
      <c r="G324" s="289" t="n">
        <f aca="false">1.2*1.5*2</f>
        <v>3.6</v>
      </c>
      <c r="H324" s="130" t="n">
        <v>0</v>
      </c>
      <c r="I324" s="290" t="n">
        <f aca="false">SUM(F324:H324)/3</f>
        <v>1.2</v>
      </c>
      <c r="J324" s="104"/>
      <c r="K324" s="104"/>
      <c r="R324" s="34"/>
      <c r="CX324" s="35"/>
      <c r="GB324" s="34"/>
      <c r="GC324" s="116"/>
      <c r="GD324" s="116"/>
      <c r="GE324" s="116"/>
      <c r="GF324" s="116"/>
      <c r="GG324" s="116"/>
      <c r="GH324" s="116"/>
      <c r="GJ324" s="1"/>
      <c r="HI324" s="34"/>
      <c r="HN324" s="34"/>
      <c r="AMI324" s="0"/>
      <c r="AMJ324" s="0"/>
    </row>
    <row collapsed="false" customFormat="true" customHeight="false" hidden="false" ht="12.8" outlineLevel="0" r="325" s="4">
      <c r="A325" s="288" t="s">
        <v>627</v>
      </c>
      <c r="B325" s="277"/>
      <c r="C325" s="277"/>
      <c r="D325" s="125" t="s">
        <v>620</v>
      </c>
      <c r="E325" s="125"/>
      <c r="F325" s="126" t="n">
        <v>0</v>
      </c>
      <c r="G325" s="291" t="n">
        <f aca="false">0.8*1.5*2</f>
        <v>2.4</v>
      </c>
      <c r="H325" s="126" t="n">
        <v>0</v>
      </c>
      <c r="I325" s="292" t="n">
        <f aca="false">0.096*2/3</f>
        <v>0.064</v>
      </c>
      <c r="J325" s="104"/>
      <c r="K325" s="104"/>
      <c r="R325" s="34"/>
      <c r="CX325" s="35"/>
      <c r="GB325" s="34"/>
      <c r="GC325" s="116"/>
      <c r="GD325" s="116"/>
      <c r="GE325" s="116"/>
      <c r="GF325" s="116"/>
      <c r="GG325" s="116"/>
      <c r="GH325" s="116"/>
      <c r="GJ325" s="1"/>
      <c r="HI325" s="34"/>
      <c r="HN325" s="34"/>
      <c r="AMI325" s="0"/>
      <c r="AMJ325" s="0"/>
    </row>
    <row collapsed="false" customFormat="false" customHeight="false" hidden="false" ht="12.8" outlineLevel="0" r="326">
      <c r="A326" s="128" t="s">
        <v>628</v>
      </c>
      <c r="B326" s="299"/>
      <c r="C326" s="299"/>
      <c r="D326" s="129" t="s">
        <v>629</v>
      </c>
      <c r="E326" s="129"/>
      <c r="F326" s="130" t="n">
        <v>0</v>
      </c>
      <c r="G326" s="130"/>
      <c r="H326" s="130" t="n">
        <v>0</v>
      </c>
      <c r="I326" s="300" t="n">
        <f aca="false">70*2/3</f>
        <v>46.6666666666667</v>
      </c>
      <c r="J326" s="137"/>
      <c r="K326" s="137"/>
      <c r="AJ326" s="127"/>
      <c r="AK326" s="4"/>
    </row>
    <row collapsed="false" customFormat="false" customHeight="false" hidden="false" ht="12.8" outlineLevel="0" r="327">
      <c r="A327" s="124" t="s">
        <v>628</v>
      </c>
      <c r="B327" s="277"/>
      <c r="C327" s="277"/>
      <c r="D327" s="125" t="s">
        <v>629</v>
      </c>
      <c r="E327" s="125"/>
      <c r="F327" s="126" t="n">
        <v>0</v>
      </c>
      <c r="G327" s="126"/>
      <c r="H327" s="126" t="n">
        <v>0</v>
      </c>
      <c r="I327" s="286" t="n">
        <f aca="false">60*2/3</f>
        <v>40</v>
      </c>
      <c r="J327" s="137"/>
      <c r="K327" s="137"/>
      <c r="AJ327" s="127"/>
      <c r="AK327" s="4"/>
    </row>
    <row collapsed="false" customFormat="false" customHeight="false" hidden="false" ht="12.8" outlineLevel="0" r="328">
      <c r="A328" s="287" t="s">
        <v>630</v>
      </c>
      <c r="B328" s="276"/>
      <c r="C328" s="276" t="s">
        <v>631</v>
      </c>
      <c r="D328" s="135" t="s">
        <v>632</v>
      </c>
      <c r="E328" s="135"/>
      <c r="F328" s="136" t="n">
        <v>0</v>
      </c>
      <c r="G328" s="289" t="n">
        <f aca="false">1.2*1*2</f>
        <v>2.4</v>
      </c>
      <c r="H328" s="136" t="n">
        <v>0</v>
      </c>
      <c r="I328" s="290" t="n">
        <f aca="false">SUM(F328:H328)/3</f>
        <v>0.8</v>
      </c>
      <c r="J328" s="104"/>
      <c r="K328" s="104"/>
    </row>
    <row collapsed="false" customFormat="false" customHeight="false" hidden="false" ht="12.8" outlineLevel="0" r="329">
      <c r="A329" s="288" t="s">
        <v>630</v>
      </c>
      <c r="B329" s="277"/>
      <c r="C329" s="277" t="s">
        <v>631</v>
      </c>
      <c r="D329" s="125" t="s">
        <v>632</v>
      </c>
      <c r="E329" s="125"/>
      <c r="F329" s="126" t="n">
        <v>0</v>
      </c>
      <c r="G329" s="291" t="n">
        <f aca="false">0.8*1*2</f>
        <v>1.6</v>
      </c>
      <c r="H329" s="126" t="n">
        <v>0</v>
      </c>
      <c r="I329" s="292" t="n">
        <f aca="false">0.096*2/3</f>
        <v>0.064</v>
      </c>
      <c r="J329" s="104"/>
      <c r="K329" s="104"/>
    </row>
    <row collapsed="false" customFormat="true" customHeight="true" hidden="false" ht="12.95" outlineLevel="0" r="330" s="4">
      <c r="A330" s="287" t="s">
        <v>633</v>
      </c>
      <c r="B330" s="276"/>
      <c r="C330" s="276"/>
      <c r="D330" s="135" t="s">
        <v>623</v>
      </c>
      <c r="E330" s="135"/>
      <c r="F330" s="136"/>
      <c r="G330" s="136"/>
      <c r="H330" s="136"/>
      <c r="I330" s="290" t="n">
        <f aca="false">6*2/3</f>
        <v>4</v>
      </c>
      <c r="J330" s="104"/>
      <c r="K330" s="104"/>
      <c r="R330" s="34"/>
      <c r="BU330" s="115"/>
      <c r="CQ330" s="34"/>
      <c r="CX330" s="35"/>
      <c r="GB330" s="34"/>
      <c r="GC330" s="116"/>
      <c r="GD330" s="116"/>
      <c r="GE330" s="116"/>
      <c r="GF330" s="116"/>
      <c r="GG330" s="116"/>
      <c r="GH330" s="116"/>
      <c r="GJ330" s="1"/>
      <c r="HI330" s="34"/>
      <c r="HN330" s="34"/>
      <c r="AMI330" s="0"/>
      <c r="AMJ330" s="0"/>
    </row>
    <row collapsed="false" customFormat="true" customHeight="true" hidden="false" ht="12.95" outlineLevel="0" r="331" s="4">
      <c r="A331" s="288" t="s">
        <v>633</v>
      </c>
      <c r="B331" s="277"/>
      <c r="C331" s="277"/>
      <c r="D331" s="125" t="s">
        <v>623</v>
      </c>
      <c r="E331" s="125"/>
      <c r="F331" s="126"/>
      <c r="G331" s="126"/>
      <c r="H331" s="126"/>
      <c r="I331" s="292" t="n">
        <f aca="false">4*2/3</f>
        <v>2.66666666666667</v>
      </c>
      <c r="J331" s="104"/>
      <c r="K331" s="104"/>
      <c r="R331" s="34"/>
      <c r="BU331" s="115"/>
      <c r="CQ331" s="34"/>
      <c r="CX331" s="35"/>
      <c r="GB331" s="34"/>
      <c r="GC331" s="116"/>
      <c r="GD331" s="116"/>
      <c r="GE331" s="116"/>
      <c r="GF331" s="116"/>
      <c r="GG331" s="116"/>
      <c r="GH331" s="116"/>
      <c r="GJ331" s="1"/>
      <c r="HI331" s="34"/>
      <c r="HN331" s="34"/>
      <c r="AMI331" s="0"/>
      <c r="AMJ331" s="0"/>
    </row>
    <row collapsed="false" customFormat="true" customHeight="true" hidden="false" ht="12.95" outlineLevel="0" r="332" s="4">
      <c r="A332" s="287" t="s">
        <v>634</v>
      </c>
      <c r="B332" s="276"/>
      <c r="C332" s="276" t="s">
        <v>635</v>
      </c>
      <c r="D332" s="135" t="s">
        <v>636</v>
      </c>
      <c r="E332" s="135"/>
      <c r="F332" s="136"/>
      <c r="G332" s="136" t="n">
        <v>1</v>
      </c>
      <c r="H332" s="136"/>
      <c r="I332" s="290" t="n">
        <f aca="false">150*1/3</f>
        <v>50</v>
      </c>
      <c r="J332" s="104"/>
      <c r="K332" s="104"/>
      <c r="R332" s="34"/>
      <c r="BU332" s="115"/>
      <c r="CX332" s="35"/>
      <c r="GB332" s="34"/>
      <c r="GC332" s="116"/>
      <c r="GD332" s="116"/>
      <c r="GE332" s="116"/>
      <c r="GF332" s="116"/>
      <c r="GG332" s="116"/>
      <c r="GH332" s="116"/>
      <c r="GJ332" s="1"/>
      <c r="HI332" s="34"/>
      <c r="HN332" s="34"/>
      <c r="AMI332" s="0"/>
      <c r="AMJ332" s="0"/>
    </row>
    <row collapsed="false" customFormat="true" customHeight="true" hidden="false" ht="12.95" outlineLevel="0" r="333" s="4">
      <c r="A333" s="288" t="s">
        <v>634</v>
      </c>
      <c r="B333" s="277"/>
      <c r="C333" s="277" t="s">
        <v>635</v>
      </c>
      <c r="D333" s="125" t="s">
        <v>636</v>
      </c>
      <c r="E333" s="125"/>
      <c r="F333" s="126"/>
      <c r="G333" s="126" t="n">
        <v>2</v>
      </c>
      <c r="H333" s="126"/>
      <c r="I333" s="292" t="n">
        <f aca="false">150*2/3</f>
        <v>100</v>
      </c>
      <c r="J333" s="104"/>
      <c r="K333" s="104"/>
      <c r="R333" s="34"/>
      <c r="BU333" s="115"/>
      <c r="CX333" s="35"/>
      <c r="GB333" s="34"/>
      <c r="GC333" s="116"/>
      <c r="GD333" s="116"/>
      <c r="GE333" s="116"/>
      <c r="GF333" s="116"/>
      <c r="GG333" s="116"/>
      <c r="GH333" s="116"/>
      <c r="GJ333" s="1"/>
      <c r="HI333" s="34"/>
      <c r="HN333" s="34"/>
      <c r="AMI333" s="0"/>
      <c r="AMJ333" s="0"/>
    </row>
    <row collapsed="false" customFormat="false" customHeight="false" hidden="false" ht="12.8" outlineLevel="0" r="334">
      <c r="A334" s="293" t="s">
        <v>637</v>
      </c>
      <c r="B334" s="294" t="s">
        <v>638</v>
      </c>
      <c r="C334" s="294" t="s">
        <v>635</v>
      </c>
      <c r="D334" s="143" t="s">
        <v>639</v>
      </c>
      <c r="E334" s="143" t="n">
        <f aca="false">1*2</f>
        <v>2</v>
      </c>
      <c r="F334" s="144" t="n">
        <f aca="false">2</f>
        <v>2</v>
      </c>
      <c r="G334" s="144" t="n">
        <f aca="false">2</f>
        <v>2</v>
      </c>
      <c r="H334" s="144" t="n">
        <v>3</v>
      </c>
      <c r="I334" s="285" t="n">
        <f aca="false">SUM(E334:H334)/3</f>
        <v>3</v>
      </c>
      <c r="J334" s="104"/>
      <c r="K334" s="104"/>
      <c r="BU334" s="4"/>
      <c r="ER334" s="145" t="n">
        <f aca="false">500*I334</f>
        <v>1500</v>
      </c>
    </row>
    <row collapsed="false" customFormat="false" customHeight="true" hidden="false" ht="11.15" outlineLevel="0" r="335">
      <c r="A335" s="288" t="s">
        <v>637</v>
      </c>
      <c r="B335" s="277" t="s">
        <v>638</v>
      </c>
      <c r="C335" s="277" t="s">
        <v>635</v>
      </c>
      <c r="D335" s="125" t="s">
        <v>639</v>
      </c>
      <c r="E335" s="125"/>
      <c r="F335" s="126" t="n">
        <v>2</v>
      </c>
      <c r="G335" s="126" t="n">
        <v>1</v>
      </c>
      <c r="H335" s="126" t="n">
        <v>3</v>
      </c>
      <c r="I335" s="286" t="n">
        <f aca="false">SUM(F335:H335)/3</f>
        <v>2</v>
      </c>
      <c r="J335" s="104"/>
      <c r="K335" s="104"/>
      <c r="ER335" s="127" t="n">
        <f aca="false">500*I335</f>
        <v>1000</v>
      </c>
    </row>
    <row collapsed="false" customFormat="false" customHeight="false" hidden="false" ht="12.8" outlineLevel="0" r="336">
      <c r="A336" s="301" t="s">
        <v>640</v>
      </c>
      <c r="B336" s="296"/>
      <c r="C336" s="296"/>
      <c r="D336" s="169"/>
      <c r="E336" s="169"/>
      <c r="F336" s="170"/>
      <c r="G336" s="170"/>
      <c r="H336" s="170"/>
      <c r="I336" s="302" t="n">
        <f aca="false">0.72*2/3*0</f>
        <v>0</v>
      </c>
      <c r="J336" s="104"/>
      <c r="K336" s="104"/>
      <c r="AW336" s="29" t="n">
        <f aca="false">I336*1000</f>
        <v>0</v>
      </c>
      <c r="EH336" s="4"/>
      <c r="ER336" s="4"/>
      <c r="FK336" s="191"/>
      <c r="FL336" s="191"/>
      <c r="GB336" s="303"/>
      <c r="GC336" s="1"/>
      <c r="GD336" s="1"/>
      <c r="GE336" s="1"/>
      <c r="GF336" s="1"/>
      <c r="GG336" s="1"/>
      <c r="GH336" s="1"/>
    </row>
    <row collapsed="false" customFormat="false" customHeight="false" hidden="false" ht="12.8" outlineLevel="0" r="337">
      <c r="A337" s="301" t="s">
        <v>640</v>
      </c>
      <c r="B337" s="296"/>
      <c r="C337" s="296"/>
      <c r="D337" s="169"/>
      <c r="E337" s="169"/>
      <c r="F337" s="170"/>
      <c r="G337" s="170"/>
      <c r="H337" s="170"/>
      <c r="I337" s="302" t="n">
        <f aca="false">0.48*2/3*0</f>
        <v>0</v>
      </c>
      <c r="J337" s="104"/>
      <c r="K337" s="104"/>
      <c r="AW337" s="36" t="n">
        <f aca="false">I337*1000</f>
        <v>0</v>
      </c>
      <c r="ER337" s="4"/>
      <c r="FK337" s="191"/>
      <c r="FL337" s="191"/>
      <c r="GB337" s="303"/>
      <c r="GC337" s="1"/>
      <c r="GD337" s="1"/>
      <c r="GE337" s="1"/>
      <c r="GF337" s="1"/>
      <c r="GG337" s="1"/>
      <c r="GH337" s="1"/>
    </row>
    <row collapsed="false" customFormat="true" customHeight="false" hidden="false" ht="12.8" outlineLevel="0" r="338" s="4">
      <c r="A338" s="298" t="s">
        <v>641</v>
      </c>
      <c r="B338" s="299"/>
      <c r="C338" s="299"/>
      <c r="D338" s="129" t="s">
        <v>623</v>
      </c>
      <c r="E338" s="129"/>
      <c r="F338" s="130"/>
      <c r="G338" s="304" t="n">
        <f aca="false">1.2*0.09*2</f>
        <v>0.216</v>
      </c>
      <c r="H338" s="130"/>
      <c r="I338" s="300" t="n">
        <f aca="false">SUM(F338:H338)/3</f>
        <v>0.072</v>
      </c>
      <c r="J338" s="104"/>
      <c r="K338" s="104"/>
      <c r="R338" s="34"/>
      <c r="CX338" s="35"/>
      <c r="FK338" s="188"/>
      <c r="FL338" s="188"/>
      <c r="GB338" s="305"/>
      <c r="GJ338" s="1"/>
      <c r="HI338" s="34"/>
      <c r="HN338" s="34"/>
      <c r="AMI338" s="0"/>
      <c r="AMJ338" s="0"/>
    </row>
    <row collapsed="false" customFormat="true" customHeight="false" hidden="false" ht="12.8" outlineLevel="0" r="339" s="4">
      <c r="A339" s="288" t="s">
        <v>641</v>
      </c>
      <c r="B339" s="277"/>
      <c r="C339" s="277"/>
      <c r="D339" s="125" t="s">
        <v>623</v>
      </c>
      <c r="E339" s="125"/>
      <c r="F339" s="126"/>
      <c r="G339" s="291" t="n">
        <f aca="false">0.8*0.09*2</f>
        <v>0.144</v>
      </c>
      <c r="H339" s="126"/>
      <c r="I339" s="286" t="n">
        <f aca="false">SUM(F339:H339)/3</f>
        <v>0.048</v>
      </c>
      <c r="J339" s="104"/>
      <c r="K339" s="104"/>
      <c r="R339" s="34"/>
      <c r="CX339" s="35"/>
      <c r="FK339" s="188"/>
      <c r="FL339" s="188"/>
      <c r="GB339" s="305"/>
      <c r="GJ339" s="1"/>
      <c r="HI339" s="34"/>
      <c r="HN339" s="34"/>
      <c r="AMI339" s="0"/>
      <c r="AMJ339" s="0"/>
    </row>
    <row collapsed="false" customFormat="false" customHeight="false" hidden="false" ht="12.8" outlineLevel="0" r="340">
      <c r="A340" s="293" t="s">
        <v>642</v>
      </c>
      <c r="B340" s="294" t="s">
        <v>631</v>
      </c>
      <c r="C340" s="294" t="s">
        <v>631</v>
      </c>
      <c r="D340" s="143" t="s">
        <v>643</v>
      </c>
      <c r="E340" s="143"/>
      <c r="F340" s="144"/>
      <c r="G340" s="144"/>
      <c r="H340" s="144"/>
      <c r="I340" s="306" t="n">
        <f aca="false">1.92*2/3</f>
        <v>1.28</v>
      </c>
      <c r="J340" s="104"/>
      <c r="K340" s="104"/>
      <c r="AW340" s="4"/>
      <c r="IC340" s="1" t="n">
        <f aca="false">0/9*$I182</f>
        <v>0</v>
      </c>
    </row>
    <row collapsed="false" customFormat="false" customHeight="false" hidden="false" ht="12.8" outlineLevel="0" r="341">
      <c r="A341" s="288" t="s">
        <v>642</v>
      </c>
      <c r="B341" s="277" t="s">
        <v>631</v>
      </c>
      <c r="C341" s="277" t="s">
        <v>631</v>
      </c>
      <c r="D341" s="125" t="s">
        <v>643</v>
      </c>
      <c r="E341" s="125"/>
      <c r="F341" s="126"/>
      <c r="G341" s="126"/>
      <c r="H341" s="126"/>
      <c r="I341" s="286" t="n">
        <f aca="false">1.28*2/3</f>
        <v>0.853333333333333</v>
      </c>
      <c r="J341" s="104"/>
      <c r="K341" s="104"/>
    </row>
    <row collapsed="false" customFormat="true" customHeight="true" hidden="false" ht="12.95" outlineLevel="0" r="342" s="4">
      <c r="A342" s="287" t="s">
        <v>644</v>
      </c>
      <c r="B342" s="287"/>
      <c r="C342" s="276"/>
      <c r="D342" s="135" t="s">
        <v>645</v>
      </c>
      <c r="E342" s="135"/>
      <c r="F342" s="136"/>
      <c r="G342" s="136"/>
      <c r="H342" s="136"/>
      <c r="I342" s="285" t="n">
        <f aca="false">0.5/2*1/3</f>
        <v>0.0833333333333333</v>
      </c>
      <c r="J342" s="104"/>
      <c r="K342" s="104"/>
      <c r="R342" s="34"/>
      <c r="CX342" s="35"/>
      <c r="FY342" s="29" t="n">
        <f aca="false">$I342*0.66*1000</f>
        <v>55</v>
      </c>
      <c r="GB342" s="34"/>
      <c r="GC342" s="116"/>
      <c r="GD342" s="116"/>
      <c r="GE342" s="116"/>
      <c r="GF342" s="116"/>
      <c r="GG342" s="116"/>
      <c r="GH342" s="116"/>
      <c r="GJ342" s="1"/>
      <c r="HI342" s="34"/>
      <c r="HN342" s="34"/>
      <c r="AMI342" s="0"/>
      <c r="AMJ342" s="0"/>
    </row>
    <row collapsed="false" customFormat="true" customHeight="true" hidden="false" ht="12.95" outlineLevel="0" r="343" s="4">
      <c r="A343" s="288" t="s">
        <v>644</v>
      </c>
      <c r="B343" s="288"/>
      <c r="C343" s="277"/>
      <c r="D343" s="125" t="s">
        <v>646</v>
      </c>
      <c r="E343" s="125"/>
      <c r="F343" s="126"/>
      <c r="G343" s="126"/>
      <c r="H343" s="126"/>
      <c r="I343" s="286" t="n">
        <f aca="false">0.5/2*1/3</f>
        <v>0.0833333333333333</v>
      </c>
      <c r="J343" s="104"/>
      <c r="K343" s="104"/>
      <c r="R343" s="34"/>
      <c r="CX343" s="35"/>
      <c r="FY343" s="36" t="n">
        <f aca="false">$I343*0.66*1000</f>
        <v>55</v>
      </c>
      <c r="GB343" s="34"/>
      <c r="GC343" s="116"/>
      <c r="GD343" s="116"/>
      <c r="GE343" s="116"/>
      <c r="GF343" s="116"/>
      <c r="GG343" s="116"/>
      <c r="GH343" s="116"/>
      <c r="GJ343" s="1"/>
      <c r="HI343" s="34"/>
      <c r="HN343" s="34"/>
      <c r="AMI343" s="0"/>
      <c r="AMJ343" s="0"/>
    </row>
    <row collapsed="false" customFormat="false" customHeight="false" hidden="false" ht="12.8" outlineLevel="0" r="344">
      <c r="A344" s="293" t="s">
        <v>647</v>
      </c>
      <c r="B344" s="294" t="s">
        <v>619</v>
      </c>
      <c r="C344" s="294"/>
      <c r="D344" s="143" t="s">
        <v>620</v>
      </c>
      <c r="E344" s="143"/>
      <c r="F344" s="144" t="n">
        <v>0</v>
      </c>
      <c r="G344" s="295" t="n">
        <f aca="false">1.2*0.5*2</f>
        <v>1.2</v>
      </c>
      <c r="H344" s="144" t="n">
        <v>0</v>
      </c>
      <c r="I344" s="306" t="n">
        <f aca="false">SUM(F344:H344)/3</f>
        <v>0.4</v>
      </c>
      <c r="J344" s="104"/>
      <c r="K344" s="104"/>
      <c r="IK344" s="181" t="n">
        <f aca="false">I344*1000</f>
        <v>400</v>
      </c>
    </row>
    <row collapsed="false" customFormat="false" customHeight="false" hidden="false" ht="12.8" outlineLevel="0" r="345">
      <c r="A345" s="288" t="s">
        <v>647</v>
      </c>
      <c r="B345" s="277" t="s">
        <v>619</v>
      </c>
      <c r="C345" s="277"/>
      <c r="D345" s="125" t="s">
        <v>620</v>
      </c>
      <c r="E345" s="125"/>
      <c r="F345" s="126" t="n">
        <v>0</v>
      </c>
      <c r="G345" s="291" t="n">
        <f aca="false">0.8*0.5*2</f>
        <v>0.8</v>
      </c>
      <c r="H345" s="126" t="n">
        <v>0</v>
      </c>
      <c r="I345" s="286" t="n">
        <f aca="false">SUM(F345:H345)/3</f>
        <v>0.266666666666667</v>
      </c>
      <c r="J345" s="104"/>
      <c r="K345" s="104"/>
      <c r="IK345" s="127" t="n">
        <f aca="false">I345*1000</f>
        <v>266.666666666667</v>
      </c>
    </row>
    <row collapsed="false" customFormat="false" customHeight="false" hidden="false" ht="12.8" outlineLevel="0" r="346">
      <c r="A346" s="301" t="s">
        <v>648</v>
      </c>
      <c r="B346" s="301"/>
      <c r="C346" s="296"/>
      <c r="D346" s="307" t="s">
        <v>620</v>
      </c>
      <c r="E346" s="307"/>
      <c r="F346" s="308"/>
      <c r="G346" s="308"/>
      <c r="H346" s="308"/>
      <c r="I346" s="309" t="n">
        <f aca="false">0.51*2/3</f>
        <v>0.34</v>
      </c>
      <c r="GM346" s="0"/>
      <c r="GN346" s="4"/>
    </row>
    <row collapsed="false" customFormat="false" customHeight="false" hidden="false" ht="12.8" outlineLevel="0" r="347">
      <c r="A347" s="301" t="s">
        <v>649</v>
      </c>
      <c r="B347" s="301"/>
      <c r="C347" s="296"/>
      <c r="D347" s="307" t="s">
        <v>620</v>
      </c>
      <c r="E347" s="307"/>
      <c r="F347" s="308"/>
      <c r="G347" s="308"/>
      <c r="H347" s="308"/>
      <c r="I347" s="309" t="n">
        <f aca="false">+0.15*2/3</f>
        <v>0.1</v>
      </c>
      <c r="GM347" s="0"/>
      <c r="GN347" s="4"/>
    </row>
    <row collapsed="false" customFormat="false" customHeight="false" hidden="false" ht="12.8" outlineLevel="0" r="348">
      <c r="A348" s="310"/>
      <c r="B348" s="310"/>
      <c r="C348" s="311"/>
      <c r="D348" s="104"/>
      <c r="E348" s="104"/>
      <c r="F348" s="281"/>
      <c r="G348" s="281"/>
      <c r="H348" s="281"/>
      <c r="I348" s="282"/>
      <c r="J348" s="104"/>
      <c r="K348" s="104"/>
      <c r="EU348" s="4"/>
      <c r="EV348" s="4"/>
      <c r="EW348" s="4"/>
      <c r="EX348" s="4"/>
    </row>
    <row collapsed="false" customFormat="true" customHeight="false" hidden="false" ht="12.8" outlineLevel="0" r="349" s="313">
      <c r="A349" s="312" t="s">
        <v>650</v>
      </c>
      <c r="C349" s="314"/>
      <c r="D349" s="315" t="s">
        <v>651</v>
      </c>
      <c r="E349" s="315"/>
      <c r="F349" s="316"/>
      <c r="G349" s="316"/>
      <c r="H349" s="316"/>
      <c r="I349" s="317"/>
      <c r="J349" s="318" t="n">
        <f aca="false">SUM(J1:J345)-J13</f>
        <v>230</v>
      </c>
      <c r="K349" s="319" t="n">
        <f aca="false">SUM(K1:K347)-K4</f>
        <v>7400</v>
      </c>
      <c r="L349" s="320" t="n">
        <f aca="false">SUM(L1:L345)-L183-L246-L302</f>
        <v>726.666666666667</v>
      </c>
      <c r="M349" s="321" t="n">
        <f aca="false">SUM(M1:M341)</f>
        <v>666.666666666667</v>
      </c>
      <c r="N349" s="320" t="n">
        <f aca="false">SUM(N1:N345)-N304</f>
        <v>832</v>
      </c>
      <c r="O349" s="321" t="n">
        <f aca="false">SUM(O1:O345)</f>
        <v>1033.33333333333</v>
      </c>
      <c r="P349" s="320" t="n">
        <f aca="false">SUM(P1:P345)-P183</f>
        <v>0</v>
      </c>
      <c r="Q349" s="322" t="n">
        <f aca="false">SUM(Q1:Q345)</f>
        <v>20</v>
      </c>
      <c r="R349" s="323" t="n">
        <f aca="false">SUM(R1:R345)</f>
        <v>516.666666666667</v>
      </c>
      <c r="S349" s="320" t="n">
        <f aca="false">SUM(S1:S347)-S183-S246</f>
        <v>42.1333333333333</v>
      </c>
      <c r="T349" s="320" t="n">
        <f aca="false">SUM(T1:T341)-T42-T45-T183</f>
        <v>156.888888888889</v>
      </c>
      <c r="U349" s="320" t="n">
        <f aca="false">SUM(U1:U345)-U304</f>
        <v>244.666666666667</v>
      </c>
      <c r="V349" s="320" t="n">
        <f aca="false">SUM(V1:V347)-V170-V171-V304</f>
        <v>695.611111111111</v>
      </c>
      <c r="W349" s="322" t="n">
        <f aca="false">SUM(W2:W345)</f>
        <v>333.333333333333</v>
      </c>
      <c r="X349" s="320" t="n">
        <f aca="false">SUM(X2:X345)-X16-X79-X306</f>
        <v>875</v>
      </c>
      <c r="Y349" s="320" t="n">
        <f aca="false">SUM(Y2:Y345)-Y304</f>
        <v>1616</v>
      </c>
      <c r="Z349" s="323" t="n">
        <f aca="false">SUM(Z1:Z345)-Z18</f>
        <v>81</v>
      </c>
      <c r="AA349" s="319" t="n">
        <f aca="false">SUM(AA1:AA347)</f>
        <v>8000</v>
      </c>
      <c r="AB349" s="324" t="n">
        <f aca="false">SUM(AB2:AB345)-AB20</f>
        <v>0.4</v>
      </c>
      <c r="AC349" s="320" t="n">
        <f aca="false">SUM(AC2:AC345)</f>
        <v>333.333333333333</v>
      </c>
      <c r="AD349" s="321" t="n">
        <f aca="false">SUM(AD1:AD345)</f>
        <v>375</v>
      </c>
      <c r="AE349" s="321" t="n">
        <f aca="false">SUM(AE1:AE345)</f>
        <v>0</v>
      </c>
      <c r="AF349" s="321" t="n">
        <f aca="false">SUM(AF1:AF345)</f>
        <v>446.666666666667</v>
      </c>
      <c r="AG349" s="325" t="n">
        <f aca="false">SUM(AG1:AG345)</f>
        <v>4.46666666666667</v>
      </c>
      <c r="AH349" s="320" t="n">
        <f aca="false">SUM(AH2:AH345)-AH183-AH246</f>
        <v>2536</v>
      </c>
      <c r="AI349" s="321" t="n">
        <f aca="false">SUM(AI2:AI345)</f>
        <v>66.6666666666667</v>
      </c>
      <c r="AJ349" s="320" t="n">
        <f aca="false">SUM(AJ2:AJ347)-AJ181</f>
        <v>235.093333333333</v>
      </c>
      <c r="AK349" s="320" t="n">
        <f aca="false">SUM(AK2:AK345)-AK77-AK135-AK279</f>
        <v>700</v>
      </c>
      <c r="AL349" s="320" t="n">
        <f aca="false">SUM(AL2:AL345)-AL40-AL183</f>
        <v>10933.3333333333</v>
      </c>
      <c r="AM349" s="320" t="n">
        <f aca="false">SUM(AM2:AM345)-AM121</f>
        <v>13.3333333333333</v>
      </c>
      <c r="AN349" s="326" t="n">
        <f aca="false">SUM(AN1:AN347)-AN13-AN47-AN183-AN225</f>
        <v>7.83333333333333</v>
      </c>
      <c r="AO349" s="320" t="n">
        <f aca="false">SUM(AO1:AO345)-AO51-AO183-AO121</f>
        <v>616.666666666667</v>
      </c>
      <c r="AP349" s="320" t="n">
        <f aca="false">SUM(AP1:AP345)-AP183</f>
        <v>840</v>
      </c>
      <c r="AQ349" s="319" t="n">
        <f aca="false">SUM(AQ1:AQ347)-AQ47-AQ51-AQ54-AQ135-AQ181-AQ183-AQ219-AQ233-AQ244-AQ246-AQ279-AQ304</f>
        <v>1396.43555555556</v>
      </c>
      <c r="AR349" s="327" t="n">
        <f aca="false">SUM(AR15:AR345)</f>
        <v>16.6666666666667</v>
      </c>
      <c r="AS349" s="320" t="n">
        <f aca="false">SUM(AS1:AS345)-AS203</f>
        <v>226.026443980515</v>
      </c>
      <c r="AT349" s="320" t="n">
        <f aca="false">SUM(AT1:AT345)-AT203</f>
        <v>570.296296296296</v>
      </c>
      <c r="AU349" s="322" t="n">
        <f aca="false">SUM(AU1:AU345)-AU172-AU173</f>
        <v>333.333333333333</v>
      </c>
      <c r="AV349" s="327" t="n">
        <f aca="false">SUM(AV1:AV345)</f>
        <v>508.018154311649</v>
      </c>
      <c r="AW349" s="320" t="n">
        <f aca="false">SUM(AW1:AW345)-AW203</f>
        <v>1192</v>
      </c>
      <c r="AX349" s="321" t="n">
        <f aca="false">SUM(AX1:AX345)</f>
        <v>683.333333333333</v>
      </c>
      <c r="AY349" s="320" t="n">
        <f aca="false">SUM(AY1:AY345)-AY183-AY246</f>
        <v>9.6</v>
      </c>
      <c r="AZ349" s="320" t="n">
        <f aca="false">SUM(AZ1:AZ345)</f>
        <v>168</v>
      </c>
      <c r="BA349" s="322" t="n">
        <f aca="false">SUM(BA1:BA345)</f>
        <v>30</v>
      </c>
      <c r="BB349" s="320" t="n">
        <f aca="false">SUM(BB$2:BB345)-BB65</f>
        <v>213.333333333333</v>
      </c>
      <c r="BC349" s="320" t="n">
        <f aca="false">SUM(BC1:BC345)-BC67-BC183</f>
        <v>1800.91666666667</v>
      </c>
      <c r="BD349" s="320" t="n">
        <f aca="false">SUM(BD1:BD347)-BD75-BD183-AN225</f>
        <v>843.111111111111</v>
      </c>
      <c r="BE349" s="319" t="n">
        <f aca="false">SUM(BE1:BE345)</f>
        <v>250</v>
      </c>
      <c r="BF349" s="320" t="n">
        <f aca="false">SUM(BF2:BF345)-BF75</f>
        <v>350</v>
      </c>
      <c r="BG349" s="319" t="n">
        <f aca="false">SUM(BG1:BG347)-BG45-BG117</f>
        <v>161.62962962963</v>
      </c>
      <c r="BH349" s="323" t="n">
        <f aca="false">SUM(BH1:BH347)-BH84</f>
        <v>266.8</v>
      </c>
      <c r="BI349" s="326" t="n">
        <f aca="false">SUM(BI1:BI347)-BI81-BI183-BI225-BI65</f>
        <v>3.11111111111111</v>
      </c>
      <c r="BJ349" s="323" t="n">
        <f aca="false">SUM(BJ1:BJ345)-BJ302</f>
        <v>120</v>
      </c>
      <c r="BK349" s="319" t="n">
        <f aca="false">SUM(BK1:BK345)-BK140</f>
        <v>64</v>
      </c>
      <c r="BL349" s="320" t="n">
        <f aca="false">SUM(BL1:BL345)-BL86-BL94</f>
        <v>166.666666666667</v>
      </c>
      <c r="BM349" s="320" t="n">
        <f aca="false">SUM(BM1:BM345)-BM88</f>
        <v>9266.66666666667</v>
      </c>
      <c r="BN349" s="323" t="n">
        <f aca="false">SUM(BN2:BN345)-BN101</f>
        <v>218.416666666667</v>
      </c>
      <c r="BO349" s="320" t="n">
        <f aca="false">SUM(BO1:BO345)-BO304</f>
        <v>336</v>
      </c>
      <c r="BP349" s="320" t="n">
        <f aca="false">SUM(BP1:BP347)-BP183-BP207</f>
        <v>1666.66666666667</v>
      </c>
      <c r="BQ349" s="319" t="n">
        <f aca="false">SUM(BQ1:BQ345)</f>
        <v>0</v>
      </c>
      <c r="BR349" s="319" t="n">
        <f aca="false">SUM(BR1:BR348)-BR94</f>
        <v>0</v>
      </c>
      <c r="BS349" s="320" t="n">
        <f aca="false">SUM(BS1:BS345)-BS121</f>
        <v>149.98</v>
      </c>
      <c r="BT349" s="320" t="n">
        <f aca="false">SUM(BT1:BT345)-BT306</f>
        <v>166.666666666667</v>
      </c>
      <c r="BU349" s="326" t="n">
        <f aca="false">SUM(BU1:BU345)</f>
        <v>0</v>
      </c>
      <c r="BV349" s="320" t="n">
        <f aca="false">SUM(BV1:BV345)-BV119</f>
        <v>893.333333333333</v>
      </c>
      <c r="BW349" s="319" t="n">
        <f aca="false">SUM(BW1:BW345)-BW99-BW101</f>
        <v>50</v>
      </c>
      <c r="BX349" s="321" t="n">
        <f aca="false">SUM(BX1:BX345)-BX101</f>
        <v>100</v>
      </c>
      <c r="BY349" s="320" t="n">
        <f aca="false">SUM(BY1:BY345)-BY105-BY183</f>
        <v>56</v>
      </c>
      <c r="BZ349" s="319" t="n">
        <f aca="false">SUM(BZ1:BZ347)-BZ51</f>
        <v>4.66666666666667</v>
      </c>
      <c r="CA349" s="321" t="n">
        <f aca="false">SUM(CA1:CA345)</f>
        <v>380</v>
      </c>
      <c r="CB349" s="320" t="n">
        <f aca="false">SUM(CB1:CB347)-CB108-CB109-CB111</f>
        <v>351.5</v>
      </c>
      <c r="CC349" s="320" t="n">
        <f aca="false">SUM(CC1:CC345)-CC121</f>
        <v>8.33333333333333</v>
      </c>
      <c r="CD349" s="319" t="n">
        <f aca="false">SUM(CD1:CD347)-CD246</f>
        <v>631.333333333333</v>
      </c>
      <c r="CE349" s="321" t="n">
        <f aca="false">SUM(CE1:CE345)-CE115</f>
        <v>666.666666666667</v>
      </c>
      <c r="CF349" s="320" t="n">
        <f aca="false">SUM(CF1:CF345)-CF183</f>
        <v>0</v>
      </c>
      <c r="CG349" s="320" t="n">
        <f aca="false">SUM(CG1:CG347)-CG246-CG306</f>
        <v>148</v>
      </c>
      <c r="CH349" s="322" t="n">
        <f aca="false">SUM(CH2:CH345)</f>
        <v>160</v>
      </c>
      <c r="CI349" s="320" t="n">
        <f aca="false">SUM(CI1:CI345)-CI119</f>
        <v>1286.66666666667</v>
      </c>
      <c r="CJ349" s="320" t="n">
        <f aca="false">SUM(CJ1:CJ345)-CJ184</f>
        <v>325.833333333333</v>
      </c>
      <c r="CK349" s="319" t="n">
        <f aca="false">SUM(CK2:CK347)-CK306</f>
        <v>183.333333333333</v>
      </c>
      <c r="CL349" s="322" t="n">
        <f aca="false">SUM(CL2:CL345)-CL58</f>
        <v>8</v>
      </c>
      <c r="CM349" s="319" t="n">
        <f aca="false">SUM(CM2:CM347)-CM183</f>
        <v>44.4444444444444</v>
      </c>
      <c r="CN349" s="320" t="n">
        <f aca="false">SUM(CN1:CN345)-CN183-CN279</f>
        <v>18.3246073298429</v>
      </c>
      <c r="CO349" s="320" t="n">
        <f aca="false">SUM(CO1:CO345)-CO183-CO279</f>
        <v>542.042233856894</v>
      </c>
      <c r="CP349" s="322" t="n">
        <f aca="false">SUM(CP2:CP345)</f>
        <v>666.666666666667</v>
      </c>
      <c r="CQ349" s="320" t="n">
        <f aca="false">SUM(CQ1:CQ345)-CQ129-CQ183-CQ219</f>
        <v>364.977777777778</v>
      </c>
      <c r="CR349" s="319" t="n">
        <f aca="false">SUM(CR2:CR345)</f>
        <v>0</v>
      </c>
      <c r="CS349" s="320" t="n">
        <f aca="false">SUM(CS1:CS345)-CS183</f>
        <v>588.888888888889</v>
      </c>
      <c r="CT349" s="320"/>
      <c r="CU349" s="320" t="n">
        <f aca="false">SUM(CU1:CU345)-CU132</f>
        <v>4700</v>
      </c>
      <c r="CV349" s="323" t="n">
        <f aca="false">SUM(CV1:CV345)-CV71-CV73</f>
        <v>236.25</v>
      </c>
      <c r="CW349" s="320" t="n">
        <f aca="false">SUM(CW1:CW345)-CW183</f>
        <v>0</v>
      </c>
      <c r="CX349" s="320" t="n">
        <f aca="false">SUM(CX1:CX345)-CX186</f>
        <v>175</v>
      </c>
      <c r="CY349" s="322" t="n">
        <f aca="false">SUM(CY1:CY345)</f>
        <v>1033.33333333333</v>
      </c>
      <c r="CZ349" s="320" t="n">
        <f aca="false">SUM(CZ1:CZ345)</f>
        <v>142.2</v>
      </c>
      <c r="DA349" s="320" t="n">
        <f aca="false">SUM(DA1:DA347)-DA79-DA137-DA183-DA306</f>
        <v>46.2944444444444</v>
      </c>
      <c r="DB349" s="320" t="n">
        <f aca="false">SUM(DB2:DB347)-DB246-DB306</f>
        <v>196</v>
      </c>
      <c r="DC349" s="321" t="n">
        <f aca="false">SUM(DC1:DC345)</f>
        <v>2133.33333333333</v>
      </c>
      <c r="DD349" s="319" t="n">
        <f aca="false">SUM(DD1:DD345)</f>
        <v>0</v>
      </c>
      <c r="DE349" s="320" t="n">
        <f aca="false">SUM(DE1:DE347)-DE51-DE183</f>
        <v>80.952380952381</v>
      </c>
      <c r="DF349" s="319" t="n">
        <f aca="false">SUM(DF1:DF347)-DF117-DF272</f>
        <v>544.444444444445</v>
      </c>
      <c r="DG349" s="318" t="n">
        <f aca="false">SUM(DG1:DG345)-DG13</f>
        <v>0</v>
      </c>
      <c r="DH349" s="323" t="n">
        <f aca="false">SUM(DH1:DH345)-DH13-DH71</f>
        <v>2600</v>
      </c>
      <c r="DI349" s="323" t="n">
        <f aca="false">SUM(DI1:DI345)-DI71-DI73</f>
        <v>551.25</v>
      </c>
      <c r="DJ349" s="320" t="n">
        <f aca="false">SUM(DJ8:DJ347)-DJ304</f>
        <v>2200</v>
      </c>
      <c r="DK349" s="320" t="n">
        <f aca="false">SUM(DK1:DK345)-DK79</f>
        <v>400</v>
      </c>
      <c r="DL349" s="320" t="n">
        <f aca="false">SUM(DL1:DL345)-DL304</f>
        <v>458.928895612708</v>
      </c>
      <c r="DM349" s="321" t="n">
        <f aca="false">SUM(DM1:DM345)</f>
        <v>766.666666666667</v>
      </c>
      <c r="DN349" s="322" t="n">
        <f aca="false">SUM(DN1:DN345)</f>
        <v>3.13333333333333</v>
      </c>
      <c r="DO349" s="321" t="n">
        <f aca="false">SUM(DO1:DO345)</f>
        <v>166.666666666667</v>
      </c>
      <c r="DP349" s="319" t="n">
        <f aca="false">SUM(DP1:DP345)-DP150</f>
        <v>666.666666666667</v>
      </c>
      <c r="DQ349" s="320" t="n">
        <f aca="false">SUM(DQ1:DQ345)-DQ77-DQ135-DQ151-DQ152-DQ183-DQ279</f>
        <v>469.444444444444</v>
      </c>
      <c r="DR349" s="323" t="n">
        <f aca="false">SUM(DR1:DR345)-DR86</f>
        <v>66.6666666666667</v>
      </c>
      <c r="DS349" s="320" t="n">
        <f aca="false">SUM(DS1:DS345)-DS304</f>
        <v>176</v>
      </c>
      <c r="DT349" s="319" t="n">
        <f aca="false">SUM(DT1:DT345)-DT299</f>
        <v>416.666666666667</v>
      </c>
      <c r="DU349" s="319" t="n">
        <f aca="false">SUM(DU1:DU347)-DU51</f>
        <v>26.6666666666667</v>
      </c>
      <c r="DV349" s="322" t="n">
        <f aca="false">SUM(DV1:DV345)</f>
        <v>0</v>
      </c>
      <c r="DW349" s="320" t="n">
        <f aca="false">SUM(DW1:DW347)-DW183</f>
        <v>507.777777777778</v>
      </c>
      <c r="DX349" s="321" t="n">
        <f aca="false">SUM(DX1:DX345)</f>
        <v>666.666666666667</v>
      </c>
      <c r="DY349" s="320" t="n">
        <f aca="false">SUM(DY1:DY347)-DY51-DY91-DY159-DY183</f>
        <v>90.6666666666667</v>
      </c>
      <c r="DZ349" s="326" t="n">
        <f aca="false">SUM(DZ1:DZ347)-DZ162-DZ219-DZ246</f>
        <v>2.0944</v>
      </c>
      <c r="EA349" s="321" t="n">
        <f aca="false">SUM(EA1:EA345)</f>
        <v>200</v>
      </c>
      <c r="EB349" s="321" t="n">
        <f aca="false">SUM(EB1:EB345)</f>
        <v>633.333333333333</v>
      </c>
      <c r="EC349" s="320" t="n">
        <f aca="false">SUM(EC1:EC345)-EC304</f>
        <v>1360</v>
      </c>
      <c r="ED349" s="320" t="n">
        <f aca="false">SUM(ED$2:ED345)-ED304</f>
        <v>2240</v>
      </c>
      <c r="EE349" s="320" t="n">
        <f aca="false">SUM(EE$2:EE345)-EE304</f>
        <v>1248</v>
      </c>
      <c r="EF349" s="320" t="n">
        <f aca="false">SUM(EF$2:EF347)-EF121-EF246</f>
        <v>421.666666666667</v>
      </c>
      <c r="EG349" s="321" t="n">
        <f aca="false">SUM(EG$2:EG345)</f>
        <v>66.6</v>
      </c>
      <c r="EH349" s="321" t="n">
        <f aca="false">SUM(EH$2:EH345)</f>
        <v>300</v>
      </c>
      <c r="EI349" s="320" t="n">
        <f aca="false">SUM(EI$2:EI347)-EI183-EI187-EI188</f>
        <v>8</v>
      </c>
      <c r="EJ349" s="320" t="n">
        <f aca="false">SUM(EJ$2:EJ345)-EJ183-EJ203-EJ263</f>
        <v>18.2222222222222</v>
      </c>
      <c r="EK349" s="319" t="n">
        <f aca="false">SUM(EK$2:EK345)-EK142</f>
        <v>12</v>
      </c>
      <c r="EL349" s="320" t="n">
        <f aca="false">SUM(EL$2:EL345)-EL183-EL187-EL188-EL196</f>
        <v>24.6666666666667</v>
      </c>
      <c r="EM349" s="319" t="n">
        <f aca="false">SUM(EM$2:EM345)</f>
        <v>53.3333333333333</v>
      </c>
      <c r="EN349" s="320" t="n">
        <f aca="false">SUM(EN$2:EN347)-EN47-EN183-EN191-I219-EN279</f>
        <v>624.173333333333</v>
      </c>
      <c r="EO349" s="323" t="n">
        <f aca="false">SUM(EO$2:EO345)-$I302</f>
        <v>263.826666666667</v>
      </c>
      <c r="EP349" s="326" t="n">
        <f aca="false">SUM(EP$2:EP345)-EP183-EP225-EP279</f>
        <v>5.49444444444445</v>
      </c>
      <c r="EQ349" s="320" t="n">
        <f aca="false">SUM(EQ$2:EQ347)-EQ198</f>
        <v>30</v>
      </c>
      <c r="ER349" s="320" t="n">
        <f aca="false">SUM(ER$2:ER345)-ER335</f>
        <v>1500</v>
      </c>
      <c r="ES349" s="320" t="n">
        <f aca="false">SUM(ES$2:ES345)-ES304</f>
        <v>288</v>
      </c>
      <c r="ET349" s="320" t="n">
        <f aca="false">SUM(ET$2:ET345)-ET13-ET205</f>
        <v>5500</v>
      </c>
      <c r="EU349" s="320" t="n">
        <f aca="false">SUM(EU$2:EU345)-EU183-EU225</f>
        <v>138.888888888889</v>
      </c>
      <c r="EV349" s="319" t="n">
        <f aca="false">SUM(EV$2:EV345)-EV306</f>
        <v>241.666666666667</v>
      </c>
      <c r="EW349" s="321" t="n">
        <f aca="false">SUM(EW$2:EW345)</f>
        <v>100</v>
      </c>
      <c r="EX349" s="321" t="n">
        <f aca="false">SUM(EX$2:EX345)</f>
        <v>66.6666666666667</v>
      </c>
      <c r="EY349" s="321" t="n">
        <f aca="false">SUM(EY$2:EY345)</f>
        <v>2533.33333333333</v>
      </c>
      <c r="EZ349" s="322" t="n">
        <f aca="false">SUM(EZ$2:EZ347)-EZ215</f>
        <v>166.666666666667</v>
      </c>
      <c r="FA349" s="320" t="n">
        <f aca="false">SUM(FA$2:FA345)</f>
        <v>207</v>
      </c>
      <c r="FB349" s="322" t="n">
        <f aca="false">SUM(FB$2:FB345)-FB210</f>
        <v>0</v>
      </c>
      <c r="FC349" s="319" t="n">
        <f aca="false">SUM(FC$2:FC345)-FC219</f>
        <v>24</v>
      </c>
      <c r="FD349" s="318" t="n">
        <f aca="false">SUM(FD$2:FD347)-FD51-FD121-FD123</f>
        <v>15.5666666666667</v>
      </c>
      <c r="FE349" s="320" t="n">
        <f aca="false">SUM(FE$2:FE345)-FE183-FE119</f>
        <v>512.5</v>
      </c>
      <c r="FF349" s="322" t="n">
        <f aca="false">SUM(FF$2:FF345)</f>
        <v>666.666666666667</v>
      </c>
      <c r="FG349" s="322" t="n">
        <f aca="false">SUM(FG$2:FG345)-FG221</f>
        <v>60</v>
      </c>
      <c r="FH349" s="320" t="n">
        <f aca="false">SUM(FH$2:FH345)-FH177</f>
        <v>1500</v>
      </c>
      <c r="FI349" s="320" t="n">
        <f aca="false">SUM(FI$2:FI345)</f>
        <v>0</v>
      </c>
      <c r="FJ349" s="320" t="n">
        <f aca="false">SUM(FJ$2:FJ345)-FJ183</f>
        <v>88.8888888888889</v>
      </c>
      <c r="FK349" s="321" t="n">
        <f aca="false">SUM(FK$2:FK345)</f>
        <v>133.333333333333</v>
      </c>
      <c r="FL349" s="322" t="n">
        <f aca="false">SUM(FL$2:FL345)-FL221</f>
        <v>593.333333333333</v>
      </c>
      <c r="FM349" s="320" t="n">
        <f aca="false">SUM(FM$2:FM345)-FM304</f>
        <v>416</v>
      </c>
      <c r="FN349" s="322" t="n">
        <f aca="false">SUM(FN$2:FN345)-FN236</f>
        <v>6.66666666666667</v>
      </c>
      <c r="FO349" s="320" t="n">
        <f aca="false">SUM(FO$2:FO347)-FO79-FO181-FO183-FO236</f>
        <v>2215</v>
      </c>
      <c r="FP349" s="320" t="n">
        <f aca="false">SUM(FP$2:FP347)-FP181</f>
        <v>1600</v>
      </c>
      <c r="FQ349" s="320" t="n">
        <f aca="false">SUM(FQ$2:FQ347)-FQ181</f>
        <v>1120</v>
      </c>
      <c r="FR349" s="320" t="n">
        <f aca="false">SUM(FR$2:FR345)-FR236-FR79</f>
        <v>233.333333333333</v>
      </c>
      <c r="FS349" s="320" t="n">
        <f aca="false">SUM(FS$2:FS345)-FS181-FS304</f>
        <v>443.933333333333</v>
      </c>
      <c r="FT349" s="319" t="n">
        <f aca="false">SUM(FT$2:FT345)</f>
        <v>386.912</v>
      </c>
      <c r="FU349" s="319" t="n">
        <f aca="false">SUM(FU$2:FU345)-FU306</f>
        <v>6.3</v>
      </c>
      <c r="FV349" s="320" t="n">
        <f aca="false">SUM(FV$2:FV347)-FV45-FV47-FV75-FV79-FV101-FV117-FV183</f>
        <v>1433.38888888889</v>
      </c>
      <c r="FW349" s="321" t="n">
        <f aca="false">SUM(FW$2:FW345)</f>
        <v>160</v>
      </c>
      <c r="FX349" s="319" t="n">
        <f aca="false">SUM(FX$2:FX345)-FX45-FX117-FX183-FX121</f>
        <v>775.277777777778</v>
      </c>
      <c r="FY349" s="320" t="n">
        <f aca="false">SUM(FY$2:FY345)-FY181-FY183-FY219-FY279-FY343</f>
        <v>431.622222222222</v>
      </c>
      <c r="FZ349" s="319" t="n">
        <f aca="false">SUM(FZ$2:FZ345)</f>
        <v>0</v>
      </c>
      <c r="GA349" s="320" t="n">
        <f aca="false">SUM(GA$2:GA345)-GA241</f>
        <v>133.333333333333</v>
      </c>
      <c r="GB349" s="320" t="n">
        <f aca="false">SUM(GB$2:GB347)-GB183-GB246</f>
        <v>35.8311111111111</v>
      </c>
      <c r="GC349" s="320" t="n">
        <f aca="false">SUM(GC$2:GC345)-GC304</f>
        <v>896</v>
      </c>
      <c r="GD349" s="327" t="n">
        <f aca="false">SUM(GD$2:GD345)</f>
        <v>500</v>
      </c>
      <c r="GE349" s="327" t="n">
        <f aca="false">SUM(GE$2:GE345)</f>
        <v>0</v>
      </c>
      <c r="GF349" s="328" t="n">
        <f aca="false">SUM(GF$2:GF345)-GF183</f>
        <v>34.5555555555556</v>
      </c>
      <c r="GG349" s="329" t="n">
        <f aca="false">SUM(GG$2:GG347)-GG117</f>
        <v>200</v>
      </c>
      <c r="GH349" s="329" t="n">
        <f aca="false">SUM(GH$2:GH347)-GH117</f>
        <v>50.4166666666667</v>
      </c>
      <c r="GI349" s="327" t="n">
        <f aca="false">SUM(GI$2:GI345)</f>
        <v>1333.33333333333</v>
      </c>
      <c r="GJ349" s="329" t="n">
        <f aca="false">SUM(GJ$2:GJ347)-GJ203-GJ239</f>
        <v>20</v>
      </c>
      <c r="GK349" s="330" t="n">
        <f aca="false">SUM(GK$2:GK345)-GK54</f>
        <v>1640</v>
      </c>
      <c r="GL349" s="331" t="n">
        <f aca="false">SUM(GL$2:GL347)-GL58</f>
        <v>191.666666666667</v>
      </c>
      <c r="GM349" s="330" t="n">
        <f aca="false">SUM(GM$2:GM347)-GM203-GM254</f>
        <v>450</v>
      </c>
      <c r="GN349" s="319" t="n">
        <f aca="false">SUM(GN$2:GN347)-GN58-GN101-GN147</f>
        <v>53.65</v>
      </c>
      <c r="GO349" s="320" t="n">
        <f aca="false">SUM(GO$2:GO345)-GO203</f>
        <v>566.666666666667</v>
      </c>
      <c r="GP349" s="320" t="n">
        <f aca="false">SUM(GP$2:GP345)-GP107</f>
        <v>4000</v>
      </c>
      <c r="GQ349" s="320" t="n">
        <f aca="false">SUM(GQ$2:GQ345)-GQ260</f>
        <v>833.333333333334</v>
      </c>
      <c r="GR349" s="320" t="n">
        <f aca="false">SUM(GR$2:GR345)-GR279</f>
        <v>117</v>
      </c>
      <c r="GS349" s="320" t="n">
        <f aca="false">SUM(GS$2:GS345)-GS263-GS119</f>
        <v>304.444444444444</v>
      </c>
      <c r="GT349" s="320" t="n">
        <f aca="false">SUM(GT$2:GT345)-GT77-GT279</f>
        <v>71.6666666666666</v>
      </c>
      <c r="GU349" s="321" t="n">
        <f aca="false">SUM(GU$2:GU345)</f>
        <v>666.666666666667</v>
      </c>
      <c r="GV349" s="321" t="n">
        <f aca="false">SUM(GV$2:GV345)</f>
        <v>29.4166666666667</v>
      </c>
      <c r="GW349" s="319" t="n">
        <f aca="false">SUM(GW$2:GW345)-GW44</f>
        <v>0</v>
      </c>
      <c r="GX349" s="320" t="n">
        <f aca="false">SUM(GX$2:GX345)</f>
        <v>280</v>
      </c>
      <c r="GY349" s="321" t="n">
        <f aca="false">SUM(GY$2:GY345)</f>
        <v>300</v>
      </c>
      <c r="GZ349" s="321" t="n">
        <f aca="false">SUM(GZ$2:GZ345)</f>
        <v>0</v>
      </c>
      <c r="HA349" s="320" t="n">
        <f aca="false">SUM(HA$2:HA345)-HA183</f>
        <v>89.1111111111111</v>
      </c>
      <c r="HB349" s="320" t="n">
        <f aca="false">SUM(HB$2:HB345)-HB183</f>
        <v>66.8888888888889</v>
      </c>
      <c r="HC349" s="320" t="n">
        <f aca="false">SUM(HC$2:HC347)-HC183-HC268</f>
        <v>216.888888888889</v>
      </c>
      <c r="HD349" s="320" t="n">
        <f aca="false">SUM(HD$2:HD345)-HD304</f>
        <v>2005.33333333333</v>
      </c>
      <c r="HE349" s="320" t="n">
        <f aca="false">SUM(HE$2:HE345)-HE183-HE119</f>
        <v>61.1111111111111</v>
      </c>
      <c r="HF349" s="323" t="n">
        <f aca="false">SUM(HF$2:HF347)-HF201-HF270</f>
        <v>675</v>
      </c>
      <c r="HG349" s="323" t="n">
        <f aca="false">SUM(HG$2:HG347)-HG201-HG270</f>
        <v>180</v>
      </c>
      <c r="HH349" s="319" t="n">
        <f aca="false">SUM(HH$2:HH347)-HH38-HH47</f>
        <v>7.75</v>
      </c>
      <c r="HI349" s="320" t="n">
        <f aca="false">SUM(HI$2:HI347)-HI183-HI201-HI246-HI270</f>
        <v>1876.17777777778</v>
      </c>
      <c r="HJ349" s="320" t="n">
        <f aca="false">SUM(HJ$2:HJ345)-HJ203-HJ272</f>
        <v>888.888888888889</v>
      </c>
      <c r="HK349" s="323" t="n">
        <f aca="false">SUM(HK$2:HK345)-HK304</f>
        <v>31.3333333333333</v>
      </c>
      <c r="HL349" s="321" t="n">
        <f aca="false">SUM(HL$2:HL345)</f>
        <v>356.666666666667</v>
      </c>
      <c r="HM349" s="318" t="n">
        <f aca="false">SUM(HM$2:HM347)-HM51-HM121</f>
        <v>133.333333333333</v>
      </c>
      <c r="HN349" s="321" t="n">
        <f aca="false">SUM(HN$2:HN345)</f>
        <v>500</v>
      </c>
      <c r="HO349" s="330" t="n">
        <f aca="false">SUM(HO$2:HO347)-HO183-HO283</f>
        <v>2888.88888888889</v>
      </c>
      <c r="HP349" s="330" t="n">
        <f aca="false">SUM(HP$2:HP345)-HP186-HP13</f>
        <v>454.166666666667</v>
      </c>
      <c r="HQ349" s="321" t="n">
        <f aca="false">SUM(HQ$2:HQ345)</f>
        <v>200</v>
      </c>
      <c r="HR349" s="320" t="n">
        <f aca="false">SUM(HR$2:HR345)-HR183-HR286</f>
        <v>56</v>
      </c>
      <c r="HS349" s="320" t="n">
        <f aca="false">SUM(HS$2:HS345)-HS304</f>
        <v>1088</v>
      </c>
      <c r="HT349" s="319" t="n">
        <f aca="false">SUM(HT$2:HT345)-HT306</f>
        <v>1600</v>
      </c>
      <c r="HU349" s="320" t="n">
        <f aca="false">SUM(HU$2:HU345)-HU183-HU290</f>
        <v>2544.44444444444</v>
      </c>
      <c r="HV349" s="320" t="n">
        <f aca="false">SUM(HV$2:HV345)-HV304</f>
        <v>628</v>
      </c>
      <c r="HW349" s="320" t="n">
        <f aca="false">SUM(HW$2:HW345)-HW304</f>
        <v>352</v>
      </c>
      <c r="HX349" s="320" t="n">
        <f aca="false">SUM(HX$2:HX345)-HX304</f>
        <v>1264</v>
      </c>
      <c r="HY349" s="325" t="n">
        <f aca="false">SUM(HY$2:HY345)</f>
        <v>1.33333333333333</v>
      </c>
      <c r="HZ349" s="326" t="n">
        <f aca="false">SUM(HZ$2:HZ345)-HZ225-HZ296</f>
        <v>3.5</v>
      </c>
      <c r="IA349" s="326" t="n">
        <f aca="false">SUM(IA$2:IA345)-IA79</f>
        <v>16.6666666666667</v>
      </c>
      <c r="IB349" s="320" t="n">
        <f aca="false">SUM(IB$2:IB345)-IB183</f>
        <v>222.222222222222</v>
      </c>
      <c r="IC349" s="320" t="n">
        <f aca="false">SUM(IC$2:IC347)-IC203-IC33</f>
        <v>566.666666666667</v>
      </c>
      <c r="ID349" s="320" t="n">
        <f aca="false">SUM(ID$2:ID345)-ID183-ID203-ID23-ID24-ID33</f>
        <v>455.555555555555</v>
      </c>
      <c r="IE349" s="320" t="n">
        <f aca="false">SUM(IE$2:IE345)-IE183</f>
        <v>155.555555555556</v>
      </c>
      <c r="IF349" s="320" t="n">
        <f aca="false">SUM(IF$2:IF345)-IF183-IF219</f>
        <v>1008.05777777778</v>
      </c>
      <c r="IG349" s="320" t="n">
        <f aca="false">SUM(IG$2:IG347)-IG183</f>
        <v>1563.2</v>
      </c>
      <c r="IH349" s="320" t="n">
        <f aca="false">SUM(IH$2:IH347)-IH183-IH230</f>
        <v>302.222222222222</v>
      </c>
      <c r="II349" s="320" t="n">
        <f aca="false">SUM(II$2:II345)-II27-II28-II233-II181-II183</f>
        <v>1052.53333333333</v>
      </c>
      <c r="IJ349" s="320" t="n">
        <f aca="false">SUM(IJ$2:IJ345)-IJ183</f>
        <v>161.111111111111</v>
      </c>
      <c r="IK349" s="320" t="n">
        <f aca="false">SUM(IK2:IK347)-IK345</f>
        <v>400</v>
      </c>
      <c r="IL349" s="320" t="n">
        <f aca="false">SUM(IL$2:IL345)-IL183</f>
        <v>2.22222222222222</v>
      </c>
      <c r="IM349" s="320" t="n">
        <f aca="false">SUM(IM$2:IM347)-IM183</f>
        <v>312</v>
      </c>
      <c r="IN349" s="320" t="n">
        <f aca="false">SUM(IN$2:IN345)-IN183</f>
        <v>112</v>
      </c>
      <c r="IO349" s="321" t="n">
        <f aca="false">SUM(IO$2:IO345)</f>
        <v>5000</v>
      </c>
      <c r="IP349" s="319" t="n">
        <f aca="false">SUM(IP$2:IP345)-IP183</f>
        <v>82.6666666666667</v>
      </c>
      <c r="IQ349" s="320" t="n">
        <f aca="false">SUM(IQ$2:IQ347)-IQ135-IQ147-IQ183-IQ246-IQ279</f>
        <v>2731.68888888889</v>
      </c>
      <c r="IR349" s="320" t="n">
        <f aca="false">SUM(IR$2:IR345)-IR100-IR183</f>
        <v>171.777777777778</v>
      </c>
      <c r="IS349" s="330" t="n">
        <f aca="false">SUM(IS$2:IS347)-IS47-IS51-IS91-IS93-IS183</f>
        <v>8305.55555555556</v>
      </c>
      <c r="IT349" s="330" t="n">
        <f aca="false">SUM(IT$2:IT347)-IT101-IT183-IT246</f>
        <v>282.777777777778</v>
      </c>
      <c r="IU349" s="330" t="n">
        <f aca="false">SUM(IU$2:IU345)</f>
        <v>84.6666666666667</v>
      </c>
      <c r="IV349" s="327" t="n">
        <f aca="false">SUM(IV$2:IV345)</f>
        <v>311.066666666667</v>
      </c>
      <c r="IW349" s="327" t="n">
        <f aca="false">SUM(IW$2:IW345)</f>
        <v>124.5</v>
      </c>
      <c r="IX349" s="327" t="n">
        <f aca="false">SUM(IX$2:IX345)</f>
        <v>4.8</v>
      </c>
      <c r="IY349" s="321" t="n">
        <f aca="false">SUM(IY$2:IY345)</f>
        <v>30.6666666666667</v>
      </c>
      <c r="IZ349" s="321" t="n">
        <f aca="false">SUM(IZ$2:IZ345)</f>
        <v>8</v>
      </c>
      <c r="JA349" s="321" t="n">
        <f aca="false">SUM(JA$2:JA345)</f>
        <v>16.6666666666667</v>
      </c>
      <c r="JB349" s="321" t="n">
        <f aca="false">SUM(JB$2:JB345)</f>
        <v>1.33333333333333</v>
      </c>
      <c r="JC349" s="321" t="n">
        <f aca="false">SUM(JC$2:JC345)</f>
        <v>666.666666666667</v>
      </c>
      <c r="JD349" s="323" t="n">
        <f aca="false">SUM(JD$2:JD345)-JD93</f>
        <v>2200</v>
      </c>
      <c r="JE349" s="323" t="n">
        <f aca="false">SUM(JE$2:JE347)-JE121</f>
        <v>6.66666666666666</v>
      </c>
      <c r="JF349" s="321" t="n">
        <f aca="false">SUM(JF$2:JF345)</f>
        <v>33.3333333333333</v>
      </c>
      <c r="JG349" s="321" t="n">
        <f aca="false">SUM(JG$2:JG345)</f>
        <v>83.3333333333333</v>
      </c>
      <c r="JH349" s="323" t="n">
        <f aca="false">SUM(JH$2:JH345)-JH304</f>
        <v>15.92</v>
      </c>
      <c r="JI349" s="323" t="n">
        <f aca="false">SUM(JI$2:JI345)-JI272</f>
        <v>44.4444444444444</v>
      </c>
      <c r="JJ349" s="323" t="n">
        <f aca="false">SUM(JJ$2:JJ345)-JJ306</f>
        <v>45</v>
      </c>
      <c r="JK349" s="323" t="n">
        <f aca="false">SUM(JK$2:JK347)-JK183</f>
        <v>206.666666666667</v>
      </c>
      <c r="JL349" s="323" t="n">
        <f aca="false">SUM(JL$2:JL345)-JL65-JL183-JL227</f>
        <v>73.5555555555556</v>
      </c>
      <c r="AMI349" s="0"/>
      <c r="AMJ349" s="0"/>
    </row>
    <row collapsed="false" customFormat="true" customHeight="false" hidden="false" ht="12.8" outlineLevel="0" r="350" s="333">
      <c r="A350" s="332" t="s">
        <v>652</v>
      </c>
      <c r="C350" s="334"/>
      <c r="D350" s="335" t="s">
        <v>653</v>
      </c>
      <c r="E350" s="335"/>
      <c r="F350" s="336"/>
      <c r="G350" s="336"/>
      <c r="H350" s="336"/>
      <c r="I350" s="337"/>
      <c r="J350" s="338" t="n">
        <f aca="false">SUM(J2:J345)-J12-J211</f>
        <v>158.333333333333</v>
      </c>
      <c r="K350" s="338" t="n">
        <f aca="false">SUM(K2:K347)-K3</f>
        <v>6600</v>
      </c>
      <c r="L350" s="338" t="n">
        <f aca="false">SUM(L2:L347)-L182-L245-L278-L301</f>
        <v>448.888888888889</v>
      </c>
      <c r="M350" s="339" t="n">
        <f aca="false">SUM(M2:M345)</f>
        <v>666.666666666667</v>
      </c>
      <c r="N350" s="338" t="n">
        <f aca="false">SUM(N8:N345)-N303</f>
        <v>554.666666666667</v>
      </c>
      <c r="O350" s="339" t="n">
        <f aca="false">SUM(O8:O345)</f>
        <v>1033.33333333333</v>
      </c>
      <c r="P350" s="338" t="n">
        <f aca="false">SUM(P8:P345)-P182</f>
        <v>0</v>
      </c>
      <c r="Q350" s="340" t="n">
        <f aca="false">SUM(Q8:Q345)</f>
        <v>20</v>
      </c>
      <c r="R350" s="338" t="n">
        <f aca="false">SUM(R8:R345)-R293</f>
        <v>216.666666666667</v>
      </c>
      <c r="S350" s="338" t="n">
        <f aca="false">SUM(S8:S345)-S182-S245</f>
        <v>39.2</v>
      </c>
      <c r="T350" s="338" t="n">
        <f aca="false">SUM(T8:T345)-T41-T45-T182</f>
        <v>110.814814814815</v>
      </c>
      <c r="U350" s="338" t="n">
        <f aca="false">SUM(U8:U345)-U303</f>
        <v>232</v>
      </c>
      <c r="V350" s="338" t="n">
        <f aca="false">SUM(V8:V348)-V170-V171-V303</f>
        <v>496.5</v>
      </c>
      <c r="W350" s="340" t="n">
        <f aca="false">SUM(W8:W345)</f>
        <v>333.333333333333</v>
      </c>
      <c r="X350" s="338" t="n">
        <f aca="false">SUM(X2:X347)-X78-X15-X293-X305</f>
        <v>363.888888888889</v>
      </c>
      <c r="Y350" s="338" t="n">
        <f aca="false">SUM(Y8:Y345)-Y303</f>
        <v>1077.33333333333</v>
      </c>
      <c r="Z350" s="338" t="n">
        <f aca="false">SUM(Z2:Z345)-Z17</f>
        <v>54</v>
      </c>
      <c r="AA350" s="338" t="n">
        <f aca="false">SUM(AA2:AA347)</f>
        <v>8000</v>
      </c>
      <c r="AB350" s="341" t="n">
        <f aca="false">SUM(AB2:AB345)-AB19</f>
        <v>0.266666666666667</v>
      </c>
      <c r="AC350" s="338" t="n">
        <f aca="false">SUM(AC2:AC345)-AC22</f>
        <v>0</v>
      </c>
      <c r="AD350" s="339" t="n">
        <f aca="false">SUM(AD2:AD345)</f>
        <v>375</v>
      </c>
      <c r="AE350" s="339" t="n">
        <f aca="false">SUM(AE2:AE345)</f>
        <v>0</v>
      </c>
      <c r="AF350" s="339" t="n">
        <f aca="false">SUM(AF2:AF345)</f>
        <v>446.666666666667</v>
      </c>
      <c r="AG350" s="338" t="n">
        <f aca="false">SUM(AG2:AG345)</f>
        <v>4.46666666666667</v>
      </c>
      <c r="AH350" s="338" t="n">
        <f aca="false">SUM(AH2:AH347)-AH182-AH245</f>
        <v>1690.66666666667</v>
      </c>
      <c r="AI350" s="339" t="n">
        <f aca="false">SUM(AI2:AI345)</f>
        <v>66.6666666666667</v>
      </c>
      <c r="AJ350" s="338" t="n">
        <f aca="false">SUM(AJ2:AJ347)-AJ180</f>
        <v>234.506666666667</v>
      </c>
      <c r="AK350" s="338" t="n">
        <f aca="false">SUM(AK2:AK347)-AK76-AK134-AK278</f>
        <v>616.666666666667</v>
      </c>
      <c r="AL350" s="338" t="n">
        <f aca="false">SUM(AL2:AL345)-AL39-AL182</f>
        <v>7288.88888888889</v>
      </c>
      <c r="AM350" s="338" t="n">
        <f aca="false">SUM(AM8:AM345)-AM120</f>
        <v>40</v>
      </c>
      <c r="AN350" s="341" t="n">
        <f aca="false">SUM(AN2:AN347)-AN12-AN46-AN182-AN211-AN224</f>
        <v>4.18055555555555</v>
      </c>
      <c r="AO350" s="338" t="n">
        <f aca="false">SUM(AO2:AO345)-AO182-AO120</f>
        <v>1105.55555555556</v>
      </c>
      <c r="AP350" s="338" t="n">
        <f aca="false">SUM(AP2:AP345)-AP182</f>
        <v>837.777777777778</v>
      </c>
      <c r="AQ350" s="338" t="n">
        <f aca="false">SUM(AQ2:AQ347)-AQ22-AQ46-AQ53-AQ134-AQ180-AQ182-AQ218-AQ232-AQ243-AQ246-AQ278-AQ303</f>
        <v>1071.24592592593</v>
      </c>
      <c r="AR350" s="342" t="n">
        <f aca="false">SUM(AR16:AR345)</f>
        <v>16.6666666666667</v>
      </c>
      <c r="AS350" s="338" t="n">
        <f aca="false">SUM(AS2:AS345)-AS202</f>
        <v>226.026443980515</v>
      </c>
      <c r="AT350" s="338" t="n">
        <f aca="false">SUM(AT2:AT345)-AT202</f>
        <v>457.796296296296</v>
      </c>
      <c r="AU350" s="340" t="n">
        <f aca="false">SUM(AU2:AU345)-AU172-AU173</f>
        <v>333.333333333333</v>
      </c>
      <c r="AV350" s="342" t="n">
        <f aca="false">SUM(AV2:AV345)</f>
        <v>508.018154311649</v>
      </c>
      <c r="AW350" s="338" t="n">
        <f aca="false">SUM(AW2:AW345)-AW202</f>
        <v>1025.33333333333</v>
      </c>
      <c r="AX350" s="339" t="n">
        <f aca="false">SUM(AX2:AX345)</f>
        <v>683.333333333333</v>
      </c>
      <c r="AY350" s="338" t="n">
        <f aca="false">SUM(AY8:AY347)-AY182-AY245</f>
        <v>6.4</v>
      </c>
      <c r="AZ350" s="338" t="n">
        <f aca="false">SUM(AZ8:AZ345)-AZ211</f>
        <v>0</v>
      </c>
      <c r="BA350" s="340" t="n">
        <f aca="false">SUM(BA8:BA345)</f>
        <v>30</v>
      </c>
      <c r="BB350" s="338" t="n">
        <f aca="false">SUM(BB$2:BB345)-BB64</f>
        <v>146.666666666667</v>
      </c>
      <c r="BC350" s="338" t="n">
        <f aca="false">SUM(BC8:BC345)-BC66-BC182</f>
        <v>1783.13888888889</v>
      </c>
      <c r="BD350" s="338" t="n">
        <f aca="false">SUM(BD8:BD345)-BD74-BD182-AN224</f>
        <v>680.037037037037</v>
      </c>
      <c r="BE350" s="338" t="n">
        <f aca="false">SUM(BE8:BE345)-BE281</f>
        <v>0</v>
      </c>
      <c r="BF350" s="338" t="n">
        <f aca="false">SUM(BF2:BF345)-BF74</f>
        <v>233.333333333333</v>
      </c>
      <c r="BG350" s="338" t="n">
        <f aca="false">SUM(BG8:BG347)-BG45-BG116</f>
        <v>124.296296296296</v>
      </c>
      <c r="BH350" s="338" t="n">
        <f aca="false">SUM(BH8:BH347)-BH83</f>
        <v>200.133333333333</v>
      </c>
      <c r="BI350" s="341" t="n">
        <f aca="false">SUM(BI8:BI347)-BI80-BI182-BI224-BI64</f>
        <v>2.07407407407407</v>
      </c>
      <c r="BJ350" s="338" t="n">
        <f aca="false">SUM(BJ8:BJ345)-BJ301</f>
        <v>80</v>
      </c>
      <c r="BK350" s="338" t="n">
        <f aca="false">SUM(BK2:BK345)-BK139</f>
        <v>48</v>
      </c>
      <c r="BL350" s="338" t="n">
        <f aca="false">SUM(BL2:BL345)-BL85</f>
        <v>1566.66666666667</v>
      </c>
      <c r="BM350" s="338" t="n">
        <f aca="false">SUM(BM2:BM345)-BM87</f>
        <v>6233.33333333333</v>
      </c>
      <c r="BN350" s="338" t="n">
        <f aca="false">SUM(BN2:BN345)-BN100</f>
        <v>210.5</v>
      </c>
      <c r="BO350" s="338" t="n">
        <f aca="false">SUM(BO2:BO345)-BO303</f>
        <v>224</v>
      </c>
      <c r="BP350" s="338" t="n">
        <f aca="false">SUM(BP8:BP347)-BP182-BP206</f>
        <v>1177.77777777778</v>
      </c>
      <c r="BQ350" s="338" t="n">
        <f aca="false">SUM(BQ8:BQ347)</f>
        <v>0</v>
      </c>
      <c r="BR350" s="338" t="n">
        <f aca="false">SUM(BR8:BR347)</f>
        <v>2000</v>
      </c>
      <c r="BS350" s="338" t="n">
        <f aca="false">SUM(BS2:BS345)-BS120</f>
        <v>183.273333333333</v>
      </c>
      <c r="BT350" s="338" t="n">
        <f aca="false">SUM(BT2:BT347)-BT22-BT305</f>
        <v>50</v>
      </c>
      <c r="BU350" s="341" t="n">
        <f aca="false">SUM(BU2:BU345)</f>
        <v>0</v>
      </c>
      <c r="BV350" s="338" t="n">
        <f aca="false">SUM(BV2:BV345)-BV118</f>
        <v>726.666666666667</v>
      </c>
      <c r="BW350" s="338" t="n">
        <f aca="false">SUM(BW8:BW345)-BW96-BW97-BW100</f>
        <v>16.6666666666667</v>
      </c>
      <c r="BX350" s="339" t="n">
        <f aca="false">SUM(BX2:BX345)-BX100</f>
        <v>66.6666666666667</v>
      </c>
      <c r="BY350" s="338" t="n">
        <f aca="false">SUM(BY2:BY345)-BY104-BY182</f>
        <v>37.3333333333333</v>
      </c>
      <c r="BZ350" s="338" t="n">
        <f aca="false">SUM(BZ2:BZ345)</f>
        <v>14</v>
      </c>
      <c r="CA350" s="339" t="n">
        <f aca="false">SUM(CA2:CA345)</f>
        <v>380</v>
      </c>
      <c r="CB350" s="338" t="n">
        <f aca="false">SUM(CB2:CB347)-CB108-CB109-CB110</f>
        <v>240.5</v>
      </c>
      <c r="CC350" s="338" t="n">
        <f aca="false">SUM(CC8:CC345)-CC120</f>
        <v>25</v>
      </c>
      <c r="CD350" s="338" t="n">
        <f aca="false">SUM(CD2:CD347)-CD245</f>
        <v>615.333333333333</v>
      </c>
      <c r="CE350" s="339" t="n">
        <f aca="false">SUM(CE2:CE345)-CE114</f>
        <v>500</v>
      </c>
      <c r="CF350" s="338" t="n">
        <f aca="false">SUM(CF2:CF345)-CF182</f>
        <v>0</v>
      </c>
      <c r="CG350" s="338" t="n">
        <f aca="false">SUM(CG2:CG347)-CG245-CG305</f>
        <v>82</v>
      </c>
      <c r="CH350" s="322" t="n">
        <f aca="false">SUM(CH2:CH348)</f>
        <v>160</v>
      </c>
      <c r="CI350" s="338" t="n">
        <f aca="false">SUM(CI2:CI345)-CI118</f>
        <v>1053.33333333333</v>
      </c>
      <c r="CJ350" s="338" t="n">
        <f aca="false">SUM(CJ1:CJ345)-CJ183</f>
        <v>282.5</v>
      </c>
      <c r="CK350" s="343" t="n">
        <f aca="false">SUM(CK2:CK348)-CK242-CK305</f>
        <v>50</v>
      </c>
      <c r="CL350" s="322" t="n">
        <f aca="false">SUM(CL2:CL348)-CL57</f>
        <v>8</v>
      </c>
      <c r="CM350" s="343" t="n">
        <f aca="false">SUM(CM2:CM348)-CM182</f>
        <v>29.6296296296296</v>
      </c>
      <c r="CN350" s="338" t="n">
        <f aca="false">SUM(CN2:CN345)-CN182-CO278</f>
        <v>29.2321116928447</v>
      </c>
      <c r="CO350" s="338" t="n">
        <f aca="false">SUM(CO2:CO345)-CO182-CO278</f>
        <v>541.605933682374</v>
      </c>
      <c r="CP350" s="322" t="n">
        <f aca="false">SUM(CP2:CP348)</f>
        <v>666.666666666667</v>
      </c>
      <c r="CQ350" s="338" t="n">
        <f aca="false">SUM(CQ2:CQ345)-CQ128-CQ182-CQ218</f>
        <v>243.318518518519</v>
      </c>
      <c r="CR350" s="343" t="n">
        <f aca="false">SUM(CR2:CR348)</f>
        <v>0</v>
      </c>
      <c r="CS350" s="338" t="n">
        <f aca="false">SUM(CS2:CS345)-CS182</f>
        <v>559.259259259259</v>
      </c>
      <c r="CT350" s="338"/>
      <c r="CU350" s="338" t="n">
        <f aca="false">SUM(CU2:CU345)-CU131</f>
        <v>3200</v>
      </c>
      <c r="CV350" s="338" t="n">
        <f aca="false">SUM(CV2:CV347)-CV70-CV72</f>
        <v>236.25</v>
      </c>
      <c r="CW350" s="338" t="n">
        <f aca="false">SUM(CW2:CW345)-CW182</f>
        <v>0</v>
      </c>
      <c r="CX350" s="338" t="n">
        <f aca="false">SUM(CX2:CX345)-CX185</f>
        <v>116.666666666667</v>
      </c>
      <c r="CY350" s="340" t="n">
        <f aca="false">SUM(CY8:CY345)</f>
        <v>1033.33333333333</v>
      </c>
      <c r="CZ350" s="338" t="n">
        <f aca="false">SUM(CZ2:CZ345)</f>
        <v>142.2</v>
      </c>
      <c r="DA350" s="338" t="n">
        <f aca="false">SUM(DA2:DA347)-DA78-DA136-DA182-DA281-DA305</f>
        <v>30.2407407407407</v>
      </c>
      <c r="DB350" s="338" t="n">
        <f aca="false">SUM(DB2:DB347)-DB245-DB305</f>
        <v>180.666666666667</v>
      </c>
      <c r="DC350" s="339" t="n">
        <f aca="false">SUM(DC2:DC345)</f>
        <v>2133.33333333333</v>
      </c>
      <c r="DD350" s="338" t="n">
        <f aca="false">SUM(DD2:DD347)</f>
        <v>0</v>
      </c>
      <c r="DE350" s="338" t="n">
        <f aca="false">SUM(DE8:DE345)-DE182</f>
        <v>137.450396825397</v>
      </c>
      <c r="DF350" s="338" t="n">
        <f aca="false">SUM(DF2:DF347)-DF116-DF271</f>
        <v>355.555555555556</v>
      </c>
      <c r="DG350" s="338" t="n">
        <f aca="false">SUM(DG2:DG345)-DG12</f>
        <v>0</v>
      </c>
      <c r="DH350" s="338" t="n">
        <f aca="false">SUM(DH2:DH345)-DH12-DH70</f>
        <v>2100</v>
      </c>
      <c r="DI350" s="338" t="n">
        <f aca="false">SUM(DI2:DI345)-DI70-DI72</f>
        <v>551.25</v>
      </c>
      <c r="DJ350" s="338" t="n">
        <f aca="false">SUM(DJ2:DJ347)-DJ303</f>
        <v>1466.66666666667</v>
      </c>
      <c r="DK350" s="338" t="n">
        <f aca="false">SUM(DK2:DK345)-DK78</f>
        <v>266.666666666667</v>
      </c>
      <c r="DL350" s="338" t="n">
        <f aca="false">SUM(DL2:DL345)-DL303</f>
        <v>381.595562279375</v>
      </c>
      <c r="DM350" s="339" t="n">
        <f aca="false">SUM(DM2:DM345)</f>
        <v>766.666666666667</v>
      </c>
      <c r="DN350" s="340" t="n">
        <f aca="false">SUM(DN2:DN345)</f>
        <v>3.13333333333333</v>
      </c>
      <c r="DO350" s="339" t="n">
        <f aca="false">SUM(DO2:DO345)</f>
        <v>166.666666666667</v>
      </c>
      <c r="DP350" s="338" t="n">
        <f aca="false">SUM(DP2:DP345)-DP149</f>
        <v>500</v>
      </c>
      <c r="DQ350" s="338" t="n">
        <f aca="false">SUM(DQ2:DQ345)-DQ76-DQ134-DQ151-DQ152-DQ182-DQ278</f>
        <v>417.962962962963</v>
      </c>
      <c r="DR350" s="338" t="n">
        <f aca="false">SUM(DR2:DR345)-DR85</f>
        <v>466.666666666667</v>
      </c>
      <c r="DS350" s="338" t="n">
        <f aca="false">SUM(DS1:DS345)-DS303</f>
        <v>117.333333333333</v>
      </c>
      <c r="DT350" s="338" t="n">
        <f aca="false">SUM(DT2:DT345)-DT298</f>
        <v>250</v>
      </c>
      <c r="DU350" s="338" t="n">
        <f aca="false">SUM(DU2:DU345)</f>
        <v>93.3333333333333</v>
      </c>
      <c r="DV350" s="340" t="n">
        <f aca="false">SUM(DV2:DV347)</f>
        <v>0</v>
      </c>
      <c r="DW350" s="338" t="n">
        <f aca="false">SUM(DW2:DW347)-DW182</f>
        <v>470.740740740741</v>
      </c>
      <c r="DX350" s="339" t="n">
        <f aca="false">SUM(DX2:DX345)</f>
        <v>666.666666666667</v>
      </c>
      <c r="DY350" s="338" t="n">
        <f aca="false">SUM(DY2:DY345)-DY90-DY159-DY182</f>
        <v>69.7777777777778</v>
      </c>
      <c r="DZ350" s="341" t="n">
        <f aca="false">SUM(DZ$2:DZ347)-DZ161-DZ218-DZ245</f>
        <v>6.39626666666667</v>
      </c>
      <c r="EA350" s="339" t="n">
        <f aca="false">SUM(EA2:EA345)</f>
        <v>200</v>
      </c>
      <c r="EB350" s="339" t="n">
        <f aca="false">SUM(EB2:EB345)</f>
        <v>633.333333333333</v>
      </c>
      <c r="EC350" s="338" t="n">
        <f aca="false">SUM(EC$2:EC345)-EC303</f>
        <v>1040</v>
      </c>
      <c r="ED350" s="338" t="n">
        <f aca="false">SUM(ED$2:ED345)-ED303</f>
        <v>1760</v>
      </c>
      <c r="EE350" s="338" t="n">
        <f aca="false">SUM(EE$2:EE345)-EE303</f>
        <v>832</v>
      </c>
      <c r="EF350" s="338" t="n">
        <f aca="false">SUM(EF$2:EF347)-EF120-EF245</f>
        <v>411.666666666667</v>
      </c>
      <c r="EG350" s="339" t="n">
        <f aca="false">SUM(EG$2:EG345)</f>
        <v>66.6</v>
      </c>
      <c r="EH350" s="321" t="n">
        <f aca="false">SUM(EH$2:EH346)</f>
        <v>300</v>
      </c>
      <c r="EI350" s="338" t="n">
        <f aca="false">SUM(EI$2:EI347)-EI182-EI187-EI188</f>
        <v>5.77777777777778</v>
      </c>
      <c r="EJ350" s="338" t="n">
        <f aca="false">SUM(EJ$2:EJ345)-EJ182-EJ202-EJ262</f>
        <v>13.037037037037</v>
      </c>
      <c r="EK350" s="338" t="n">
        <f aca="false">SUM(EK$2:EK345)-EK141</f>
        <v>8</v>
      </c>
      <c r="EL350" s="338" t="n">
        <f aca="false">SUM(EL$2:EL345)-EL182-EL187-EL188-EL195-EL211</f>
        <v>17.5555555555556</v>
      </c>
      <c r="EM350" s="338" t="n">
        <f aca="false">SUM(EM$2:EM345)-EM281</f>
        <v>0</v>
      </c>
      <c r="EN350" s="338" t="n">
        <f aca="false">SUM(EN$2:EN347)-EN46-EN182-EN190-I218-EN278</f>
        <v>495.968888888889</v>
      </c>
      <c r="EO350" s="343" t="n">
        <f aca="false">SUM(EO$2:EO346)-$I301</f>
        <v>262.406666666667</v>
      </c>
      <c r="EP350" s="341" t="n">
        <f aca="false">SUM(EP$2:EP347)-EP47-EP182-EP278-EP224</f>
        <v>3.66296296296296</v>
      </c>
      <c r="EQ350" s="338" t="n">
        <f aca="false">SUM(EQ$2:EQ347)-EQ197</f>
        <v>20</v>
      </c>
      <c r="ER350" s="338" t="n">
        <f aca="false">SUM(ER$2:ER345)-ER334</f>
        <v>1000</v>
      </c>
      <c r="ES350" s="338" t="n">
        <f aca="false">SUM(ES$2:ES345)-ES303</f>
        <v>192</v>
      </c>
      <c r="ET350" s="338" t="n">
        <f aca="false">SUM(ET$2:ET345)-ET12-ET204</f>
        <v>2916.66666666667</v>
      </c>
      <c r="EU350" s="338" t="n">
        <f aca="false">SUM(EU$2:EU345)-EU182-EU224</f>
        <v>92.5925925925926</v>
      </c>
      <c r="EV350" s="338" t="n">
        <f aca="false">SUM(EV$2:EV347)-EV281-EV305</f>
        <v>50</v>
      </c>
      <c r="EW350" s="339" t="n">
        <f aca="false">SUM(EW$2:EW345)</f>
        <v>100</v>
      </c>
      <c r="EX350" s="339" t="n">
        <f aca="false">SUM(EX$2:EX345)</f>
        <v>66.6666666666667</v>
      </c>
      <c r="EY350" s="339" t="n">
        <f aca="false">SUM(EY$2:EY345)</f>
        <v>2533.33333333333</v>
      </c>
      <c r="EZ350" s="340" t="n">
        <f aca="false">SUM(EZ$2:EZ345)-EZ214</f>
        <v>166.666666666667</v>
      </c>
      <c r="FA350" s="338" t="n">
        <f aca="false">SUM(FA$2:FA345)-FA211-FA281</f>
        <v>0</v>
      </c>
      <c r="FB350" s="340" t="n">
        <f aca="false">SUM(FB$2:FB345)-FB209</f>
        <v>0</v>
      </c>
      <c r="FC350" s="338" t="n">
        <f aca="false">SUM(FC$2:FC345)-FC218</f>
        <v>16</v>
      </c>
      <c r="FD350" s="338" t="n">
        <f aca="false">SUM(FD$2:FD345)-FD120-FD281</f>
        <v>84</v>
      </c>
      <c r="FE350" s="338" t="n">
        <f aca="false">SUM(FE$2:FE345)-FE182-FE118</f>
        <v>408.333333333333</v>
      </c>
      <c r="FF350" s="340" t="n">
        <f aca="false">SUM(FF$2:FF345)</f>
        <v>666.666666666667</v>
      </c>
      <c r="FG350" s="340" t="n">
        <f aca="false">SUM(FG$2:FG345)-FG220</f>
        <v>60</v>
      </c>
      <c r="FH350" s="338" t="n">
        <f aca="false">SUM(FH$2:FH345)-FH176</f>
        <v>1000</v>
      </c>
      <c r="FI350" s="338" t="n">
        <f aca="false">SUM(FI$2:FI345)</f>
        <v>0</v>
      </c>
      <c r="FJ350" s="338" t="n">
        <f aca="false">SUM(FJ$2:FJ345)-FJ182</f>
        <v>59.2592592592593</v>
      </c>
      <c r="FK350" s="339" t="n">
        <f aca="false">SUM(FK$2:FK345)</f>
        <v>133.333333333333</v>
      </c>
      <c r="FL350" s="340" t="n">
        <f aca="false">SUM(FL$2:FL345)-FL220</f>
        <v>593.333333333333</v>
      </c>
      <c r="FM350" s="338" t="n">
        <f aca="false">SUM(FM$2:FM345)-FM303</f>
        <v>277.333333333333</v>
      </c>
      <c r="FN350" s="340" t="n">
        <f aca="false">SUM(FN$2:FN345)-FN235</f>
        <v>6.66666666666667</v>
      </c>
      <c r="FO350" s="338" t="n">
        <f aca="false">SUM(FO$2:FO347)-FO78-FO180-FO182-FO235</f>
        <v>1477.22222222222</v>
      </c>
      <c r="FP350" s="338" t="n">
        <f aca="false">SUM(FP$2:FP347)-FP180</f>
        <v>1066.66666666667</v>
      </c>
      <c r="FQ350" s="338" t="n">
        <f aca="false">SUM(FQ$2:FQ347)-FQ180</f>
        <v>746.666666666667</v>
      </c>
      <c r="FR350" s="338" t="n">
        <f aca="false">SUM(FR$2:FR345)-FR235-FR78</f>
        <v>211.111111111111</v>
      </c>
      <c r="FS350" s="338" t="n">
        <f aca="false">SUM(FS$2:FS345)-FS180-FS303</f>
        <v>348.733333333333</v>
      </c>
      <c r="FT350" s="338" t="n">
        <f aca="false">SUM(FT$2:FT347)-FT211</f>
        <v>0</v>
      </c>
      <c r="FU350" s="338" t="n">
        <f aca="false">SUM(FU$2:FU347)-FU281-FU305</f>
        <v>1.9</v>
      </c>
      <c r="FV350" s="338" t="n">
        <f aca="false">SUM(FV$2:FV347)-FV46-FV74-FV78-FV100-FV117-FV182</f>
        <v>1355.4037037037</v>
      </c>
      <c r="FW350" s="339" t="n">
        <f aca="false">SUM(FW$2:FW345)</f>
        <v>160</v>
      </c>
      <c r="FX350" s="343" t="n">
        <f aca="false">SUM(FX$2:FX348)-FX45-FX116-FX182-FX120</f>
        <v>591.851851851852</v>
      </c>
      <c r="FY350" s="338" t="n">
        <f aca="false">SUM(FY$2:FY345)-FY180-FY182-FY218-FY278-FY342</f>
        <v>306.081481481481</v>
      </c>
      <c r="FZ350" s="338" t="n">
        <f aca="false">SUM(FZ$2:FZ347)</f>
        <v>0</v>
      </c>
      <c r="GA350" s="338" t="n">
        <f aca="false">SUM(GA$2:GA345)-GA240</f>
        <v>83.3333333333333</v>
      </c>
      <c r="GB350" s="338" t="n">
        <f aca="false">SUM(GB$2:GB347)-GB182-GB245</f>
        <v>23.8874074074074</v>
      </c>
      <c r="GC350" s="338" t="n">
        <f aca="false">SUM(GC$2:GC345)-GC303</f>
        <v>597.333333333333</v>
      </c>
      <c r="GD350" s="342" t="n">
        <f aca="false">SUM(GD$2:GD345)</f>
        <v>500</v>
      </c>
      <c r="GE350" s="342" t="n">
        <f aca="false">SUM(GE$2:GE345)</f>
        <v>0</v>
      </c>
      <c r="GF350" s="344" t="n">
        <f aca="false">SUM(GF$2:GF345)-GF182</f>
        <v>34.4814814814815</v>
      </c>
      <c r="GG350" s="345" t="n">
        <f aca="false">SUM(GG$2:GG347)-GG116</f>
        <v>160</v>
      </c>
      <c r="GH350" s="345" t="n">
        <f aca="false">SUM(GH$2:GH347)-GH116</f>
        <v>40.3333333333333</v>
      </c>
      <c r="GI350" s="342" t="n">
        <f aca="false">SUM(GI$2:GI345)</f>
        <v>1333.33333333333</v>
      </c>
      <c r="GJ350" s="345" t="n">
        <f aca="false">SUM(GJ$2:GJ347)-GJ202-GJ238</f>
        <v>15</v>
      </c>
      <c r="GK350" s="345" t="n">
        <f aca="false">SUM(GK$2:GK345)-GK53</f>
        <v>1230</v>
      </c>
      <c r="GL350" s="345" t="n">
        <f aca="false">SUM(GL$2:GL345)-GL57</f>
        <v>191.666666666667</v>
      </c>
      <c r="GM350" s="345" t="n">
        <f aca="false">SUM(GM$2:GM347)-GM202-GM253</f>
        <v>425</v>
      </c>
      <c r="GN350" s="338" t="n">
        <f aca="false">SUM(GN$2:GN347)-GN57-GN100-GN146</f>
        <v>53.3</v>
      </c>
      <c r="GO350" s="338" t="n">
        <f aca="false">SUM(GO$2:GO347)-GO202-GO293</f>
        <v>416.666666666667</v>
      </c>
      <c r="GP350" s="338" t="n">
        <f aca="false">SUM(GP$2:GP345)-GP106</f>
        <v>2666.66666666667</v>
      </c>
      <c r="GQ350" s="338" t="n">
        <f aca="false">SUM(GQ$2:GQ347)-GQ259</f>
        <v>500</v>
      </c>
      <c r="GR350" s="338" t="n">
        <f aca="false">SUM(GR$2:GR345)-GR278</f>
        <v>78</v>
      </c>
      <c r="GS350" s="338" t="n">
        <f aca="false">SUM(GS$2:GS345)-GS1322-GS262-GS118</f>
        <v>237.777777777778</v>
      </c>
      <c r="GT350" s="338" t="n">
        <f aca="false">SUM(GT$2:GT345)-GT76-GT278</f>
        <v>70</v>
      </c>
      <c r="GU350" s="321" t="n">
        <f aca="false">SUM(GU$2:GU346)</f>
        <v>666.666666666667</v>
      </c>
      <c r="GV350" s="321" t="n">
        <f aca="false">SUM(GV$2:GV346)</f>
        <v>29.4166666666667</v>
      </c>
      <c r="GW350" s="338" t="n">
        <f aca="false">SUM(GW$2:GW345)</f>
        <v>133.333333333333</v>
      </c>
      <c r="GX350" s="338" t="n">
        <f aca="false">SUM(GX$2:GX347)-GX22-GX211</f>
        <v>0</v>
      </c>
      <c r="GY350" s="339" t="n">
        <f aca="false">SUM(GY$2:GY345)</f>
        <v>300</v>
      </c>
      <c r="GZ350" s="339" t="n">
        <f aca="false">SUM(GZ$2:GZ345)</f>
        <v>0</v>
      </c>
      <c r="HA350" s="338" t="n">
        <f aca="false">SUM(HA$2:HA345)-HA182</f>
        <v>74.2962962962963</v>
      </c>
      <c r="HB350" s="338" t="n">
        <f aca="false">SUM(HB$2:HB345)-HB182</f>
        <v>59.4814814814815</v>
      </c>
      <c r="HC350" s="338" t="n">
        <f aca="false">SUM(HC$2:HC347)-HC182-HC267</f>
        <v>159.481481481482</v>
      </c>
      <c r="HD350" s="338" t="n">
        <f aca="false">SUM(HD$2:HD345)-HD303</f>
        <v>1781.33333333333</v>
      </c>
      <c r="HE350" s="338" t="n">
        <f aca="false">SUM(HE$2:HE345)-HE182-HE118</f>
        <v>56.2962962962963</v>
      </c>
      <c r="HF350" s="338" t="n">
        <f aca="false">SUM(HF$2:HF347)-HF200-HF269</f>
        <v>300</v>
      </c>
      <c r="HG350" s="338" t="n">
        <f aca="false">SUM(HG$2:HG347)-HG200-HG269</f>
        <v>80</v>
      </c>
      <c r="HH350" s="338" t="n">
        <f aca="false">SUM(HH$2:HH347)-HH37-HH46</f>
        <v>5.58333333333333</v>
      </c>
      <c r="HI350" s="338" t="n">
        <f aca="false">SUM(HI$2:HI347)-HI182-HI200-HI245-HI269</f>
        <v>850.785185185185</v>
      </c>
      <c r="HJ350" s="338" t="n">
        <f aca="false">SUM(HJ$2:HJ345)-HJ202-HJ271</f>
        <v>444.444444444444</v>
      </c>
      <c r="HK350" s="338" t="n">
        <f aca="false">SUM(HK$2:HK345)-HK22-HK303</f>
        <v>18.6666666666667</v>
      </c>
      <c r="HL350" s="339" t="n">
        <f aca="false">SUM(HL$2:HL345)</f>
        <v>356.666666666667</v>
      </c>
      <c r="HM350" s="338" t="n">
        <f aca="false">SUM(HM$2:HM345)-HM120</f>
        <v>474.333333333333</v>
      </c>
      <c r="HN350" s="339" t="n">
        <f aca="false">SUM(HN$2:HN345)</f>
        <v>500</v>
      </c>
      <c r="HO350" s="345" t="n">
        <f aca="false">SUM(HO$2:HO347)-HO182-HO282</f>
        <v>1925.92592592593</v>
      </c>
      <c r="HP350" s="345" t="n">
        <f aca="false">SUM(HP$2:HP345)-HP185-HP12</f>
        <v>315</v>
      </c>
      <c r="HQ350" s="339" t="n">
        <f aca="false">SUM(HQ$2:HQ345)</f>
        <v>200</v>
      </c>
      <c r="HR350" s="338" t="n">
        <f aca="false">SUM(HR$2:HR345)-HR182-HR285</f>
        <v>37.3333333333333</v>
      </c>
      <c r="HS350" s="338" t="n">
        <f aca="false">SUM(HS$2:HS345)-HS303</f>
        <v>725.333333333333</v>
      </c>
      <c r="HT350" s="338" t="n">
        <f aca="false">SUM(HT$2:HT347)-HT293-HT305</f>
        <v>50</v>
      </c>
      <c r="HU350" s="338" t="n">
        <f aca="false">SUM(HU$2:HU345)-HU182-HU289</f>
        <v>1696.2962962963</v>
      </c>
      <c r="HV350" s="338" t="n">
        <f aca="false">SUM(HV$2:HV345)-HV303</f>
        <v>585.333333333333</v>
      </c>
      <c r="HW350" s="338" t="n">
        <f aca="false">SUM(HW$2:HW345)-HW303</f>
        <v>234.666666666667</v>
      </c>
      <c r="HX350" s="338" t="n">
        <f aca="false">SUM(HX$2:HX345)-HX303</f>
        <v>976</v>
      </c>
      <c r="HY350" s="338" t="n">
        <f aca="false">SUM(HY$2:HY345)</f>
        <v>1.33333333333333</v>
      </c>
      <c r="HZ350" s="341" t="n">
        <f aca="false">SUM(HZ$2:HZ345)-HZ224-HZ295</f>
        <v>2.33333333333333</v>
      </c>
      <c r="IA350" s="341" t="n">
        <f aca="false">SUM(IA$2:IA345)-IA78</f>
        <v>12.2222222222222</v>
      </c>
      <c r="IB350" s="338" t="n">
        <f aca="false">SUM(IB$2:IB345)-IB182</f>
        <v>148.148148148148</v>
      </c>
      <c r="IC350" s="338" t="n">
        <f aca="false">SUM(IC$2:IC347)-IC202-IC32</f>
        <v>375</v>
      </c>
      <c r="ID350" s="338" t="n">
        <f aca="false">SUM(ID$2:ID345)-ID182-ID202-ID23-ID24-ID32</f>
        <v>430.37037037037</v>
      </c>
      <c r="IE350" s="338" t="n">
        <f aca="false">SUM(IE$2:IE345)-IE182</f>
        <v>148.148148148148</v>
      </c>
      <c r="IF350" s="338" t="n">
        <f aca="false">SUM(IF$2:IF345)-IF182-IF218</f>
        <v>956.482962962963</v>
      </c>
      <c r="IG350" s="338" t="n">
        <f aca="false">SUM(IG$2:IG347)-IG182</f>
        <v>1486.57777777778</v>
      </c>
      <c r="IH350" s="338" t="n">
        <f aca="false">SUM(IH$2:IH347)-IH182-IH229</f>
        <v>301.481481481481</v>
      </c>
      <c r="II350" s="338" t="n">
        <f aca="false">SUM(II$2:II345)-II27-II28-II232-II180-II182</f>
        <v>923.911111111111</v>
      </c>
      <c r="IJ350" s="338" t="n">
        <f aca="false">SUM(IJ$2:IJ345)-IJ182</f>
        <v>146.296296296296</v>
      </c>
      <c r="IK350" s="338" t="n">
        <f aca="false">SUM(IK$2:IK347)-IK344</f>
        <v>266.666666666667</v>
      </c>
      <c r="IL350" s="338" t="n">
        <f aca="false">SUM(IL$2:IL345)-IL182</f>
        <v>1.48148148148148</v>
      </c>
      <c r="IM350" s="338" t="n">
        <f aca="false">SUM(IM$2:IM347)-IM182</f>
        <v>312</v>
      </c>
      <c r="IN350" s="338" t="n">
        <f aca="false">SUM(IN$2:IN345)-IN182</f>
        <v>112</v>
      </c>
      <c r="IO350" s="339" t="n">
        <f aca="false">SUM(IO$2:IO345)</f>
        <v>5000</v>
      </c>
      <c r="IP350" s="338" t="n">
        <f aca="false">SUM(IP$2:IP345)-IP182</f>
        <v>68.4444444444445</v>
      </c>
      <c r="IQ350" s="338" t="n">
        <f aca="false">SUM(IQ$2:IQ347)-IQ134-IQ146-IQ182-IQ245-IQ278</f>
        <v>1797.79259259259</v>
      </c>
      <c r="IR350" s="338" t="n">
        <f aca="false">SUM(IR$2:IR345)-IR100-IR182</f>
        <v>134.740740740741</v>
      </c>
      <c r="IS350" s="345" t="n">
        <f aca="false">SUM(IS$2:IS347)-IS46-IS90-IS92-IS182</f>
        <v>6842.59259259259</v>
      </c>
      <c r="IT350" s="345" t="n">
        <f aca="false">SUM(IT$2:IT347)-IT100-IT182-IT245</f>
        <v>188.518518518519</v>
      </c>
      <c r="IU350" s="345" t="n">
        <f aca="false">SUM(IU$2:IU345)</f>
        <v>84.6666666666667</v>
      </c>
      <c r="IV350" s="342" t="n">
        <f aca="false">SUM(IV$2:IV345)</f>
        <v>311.066666666667</v>
      </c>
      <c r="IW350" s="342" t="n">
        <f aca="false">SUM(IW$2:IW345)</f>
        <v>124.5</v>
      </c>
      <c r="IX350" s="342" t="n">
        <f aca="false">SUM(IX$2:IX345)</f>
        <v>4.8</v>
      </c>
      <c r="IY350" s="339" t="n">
        <f aca="false">SUM(IY$2:IY345)</f>
        <v>30.6666666666667</v>
      </c>
      <c r="IZ350" s="339" t="n">
        <f aca="false">SUM(IZ$2:IZ345)</f>
        <v>8</v>
      </c>
      <c r="JA350" s="339" t="n">
        <f aca="false">SUM(JA$2:JA345)</f>
        <v>16.6666666666667</v>
      </c>
      <c r="JB350" s="339" t="n">
        <f aca="false">SUM(JB$2:JB345)</f>
        <v>1.33333333333333</v>
      </c>
      <c r="JC350" s="339" t="n">
        <f aca="false">SUM(JC$2:JC345)</f>
        <v>666.666666666667</v>
      </c>
      <c r="JD350" s="338" t="n">
        <f aca="false">SUM(JD$2:JD347)-JD92</f>
        <v>1833.33333333333</v>
      </c>
      <c r="JE350" s="338" t="n">
        <f aca="false">SUM(JE$2:JE347)-JE120</f>
        <v>20</v>
      </c>
      <c r="JF350" s="339" t="n">
        <f aca="false">SUM(JF$2:JF345)</f>
        <v>33.3333333333333</v>
      </c>
      <c r="JG350" s="339" t="n">
        <f aca="false">SUM(JG$2:JG345)</f>
        <v>83.3333333333333</v>
      </c>
      <c r="JH350" s="338" t="n">
        <f aca="false">SUM(JH$2:JH345)-JH303</f>
        <v>10.6133333333333</v>
      </c>
      <c r="JI350" s="338" t="n">
        <f aca="false">SUM(JI$2:JI345)-JI271</f>
        <v>22.2222222222222</v>
      </c>
      <c r="JJ350" s="338" t="n">
        <f aca="false">SUM(JJ$2:JJ345)-JJ305</f>
        <v>22.5</v>
      </c>
      <c r="JK350" s="338" t="n">
        <f aca="false">SUM(JK$2:JK347)-JK182</f>
        <v>137.777777777778</v>
      </c>
      <c r="JL350" s="338" t="n">
        <f aca="false">SUM(JL$2:JL345)-JL64-JL182-JL226</f>
        <v>51.7037037037037</v>
      </c>
      <c r="AMI350" s="0"/>
      <c r="AMJ350" s="0"/>
    </row>
    <row collapsed="false" customFormat="true" customHeight="true" hidden="false" ht="131.15" outlineLevel="0" r="351" s="17">
      <c r="A351" s="6" t="s">
        <v>0</v>
      </c>
      <c r="B351" s="7" t="s">
        <v>1</v>
      </c>
      <c r="C351" s="8" t="s">
        <v>2</v>
      </c>
      <c r="D351" s="6" t="s">
        <v>3</v>
      </c>
      <c r="E351" s="6"/>
      <c r="F351" s="346"/>
      <c r="G351" s="346"/>
      <c r="H351" s="346"/>
      <c r="I351" s="6" t="s">
        <v>654</v>
      </c>
      <c r="J351" s="7" t="s">
        <v>9</v>
      </c>
      <c r="K351" s="7" t="s">
        <v>10</v>
      </c>
      <c r="L351" s="10" t="s">
        <v>11</v>
      </c>
      <c r="M351" s="10" t="s">
        <v>12</v>
      </c>
      <c r="N351" s="10" t="s">
        <v>13</v>
      </c>
      <c r="O351" s="10" t="s">
        <v>14</v>
      </c>
      <c r="P351" s="13" t="s">
        <v>15</v>
      </c>
      <c r="Q351" s="11" t="s">
        <v>16</v>
      </c>
      <c r="R351" s="12" t="s">
        <v>17</v>
      </c>
      <c r="S351" s="13" t="s">
        <v>18</v>
      </c>
      <c r="T351" s="13" t="s">
        <v>19</v>
      </c>
      <c r="U351" s="13" t="s">
        <v>20</v>
      </c>
      <c r="V351" s="13" t="s">
        <v>21</v>
      </c>
      <c r="W351" s="13" t="s">
        <v>655</v>
      </c>
      <c r="X351" s="13" t="s">
        <v>656</v>
      </c>
      <c r="Y351" s="13" t="s">
        <v>24</v>
      </c>
      <c r="Z351" s="13" t="s">
        <v>25</v>
      </c>
      <c r="AA351" s="13" t="s">
        <v>26</v>
      </c>
      <c r="AB351" s="13" t="s">
        <v>27</v>
      </c>
      <c r="AC351" s="9" t="s">
        <v>28</v>
      </c>
      <c r="AD351" s="11" t="s">
        <v>29</v>
      </c>
      <c r="AE351" s="13" t="s">
        <v>30</v>
      </c>
      <c r="AF351" s="14" t="s">
        <v>31</v>
      </c>
      <c r="AG351" s="13" t="s">
        <v>32</v>
      </c>
      <c r="AH351" s="11" t="s">
        <v>33</v>
      </c>
      <c r="AI351" s="11" t="s">
        <v>34</v>
      </c>
      <c r="AJ351" s="13" t="s">
        <v>657</v>
      </c>
      <c r="AK351" s="13" t="s">
        <v>36</v>
      </c>
      <c r="AL351" s="13" t="s">
        <v>37</v>
      </c>
      <c r="AM351" s="13" t="s">
        <v>38</v>
      </c>
      <c r="AN351" s="13" t="s">
        <v>39</v>
      </c>
      <c r="AO351" s="13" t="s">
        <v>40</v>
      </c>
      <c r="AP351" s="13" t="s">
        <v>41</v>
      </c>
      <c r="AQ351" s="11" t="s">
        <v>42</v>
      </c>
      <c r="AR351" s="11" t="s">
        <v>43</v>
      </c>
      <c r="AS351" s="10" t="s">
        <v>658</v>
      </c>
      <c r="AT351" s="10" t="s">
        <v>659</v>
      </c>
      <c r="AU351" s="7" t="s">
        <v>46</v>
      </c>
      <c r="AV351" s="13" t="s">
        <v>660</v>
      </c>
      <c r="AW351" s="13" t="s">
        <v>48</v>
      </c>
      <c r="AX351" s="13" t="s">
        <v>661</v>
      </c>
      <c r="AY351" s="11" t="s">
        <v>50</v>
      </c>
      <c r="AZ351" s="13" t="s">
        <v>662</v>
      </c>
      <c r="BA351" s="13" t="s">
        <v>52</v>
      </c>
      <c r="BB351" s="13" t="s">
        <v>53</v>
      </c>
      <c r="BC351" s="13" t="s">
        <v>54</v>
      </c>
      <c r="BD351" s="13" t="s">
        <v>55</v>
      </c>
      <c r="BE351" s="13" t="s">
        <v>56</v>
      </c>
      <c r="BF351" s="13" t="s">
        <v>57</v>
      </c>
      <c r="BG351" s="13" t="s">
        <v>58</v>
      </c>
      <c r="BH351" s="13" t="s">
        <v>59</v>
      </c>
      <c r="BI351" s="13" t="s">
        <v>60</v>
      </c>
      <c r="BJ351" s="13" t="s">
        <v>61</v>
      </c>
      <c r="BK351" s="13" t="s">
        <v>62</v>
      </c>
      <c r="BL351" s="13" t="s">
        <v>63</v>
      </c>
      <c r="BM351" s="13" t="s">
        <v>64</v>
      </c>
      <c r="BN351" s="7" t="s">
        <v>65</v>
      </c>
      <c r="BO351" s="13" t="s">
        <v>66</v>
      </c>
      <c r="BP351" s="7" t="s">
        <v>67</v>
      </c>
      <c r="BQ351" s="13" t="s">
        <v>68</v>
      </c>
      <c r="BR351" s="13" t="s">
        <v>69</v>
      </c>
      <c r="BS351" s="13" t="s">
        <v>70</v>
      </c>
      <c r="BT351" s="13" t="s">
        <v>71</v>
      </c>
      <c r="BU351" s="13" t="s">
        <v>72</v>
      </c>
      <c r="BV351" s="13" t="s">
        <v>73</v>
      </c>
      <c r="BW351" s="13" t="s">
        <v>74</v>
      </c>
      <c r="BX351" s="13" t="s">
        <v>75</v>
      </c>
      <c r="BY351" s="13" t="s">
        <v>76</v>
      </c>
      <c r="BZ351" s="15" t="s">
        <v>77</v>
      </c>
      <c r="CA351" s="15" t="s">
        <v>78</v>
      </c>
      <c r="CB351" s="13" t="s">
        <v>79</v>
      </c>
      <c r="CC351" s="13" t="s">
        <v>80</v>
      </c>
      <c r="CD351" s="13" t="s">
        <v>81</v>
      </c>
      <c r="CE351" s="13" t="s">
        <v>82</v>
      </c>
      <c r="CF351" s="13" t="s">
        <v>83</v>
      </c>
      <c r="CG351" s="13" t="s">
        <v>84</v>
      </c>
      <c r="CH351" s="13" t="s">
        <v>85</v>
      </c>
      <c r="CI351" s="13" t="s">
        <v>86</v>
      </c>
      <c r="CJ351" s="11" t="s">
        <v>87</v>
      </c>
      <c r="CK351" s="11" t="s">
        <v>88</v>
      </c>
      <c r="CL351" s="11" t="s">
        <v>89</v>
      </c>
      <c r="CM351" s="11" t="s">
        <v>90</v>
      </c>
      <c r="CN351" s="11" t="s">
        <v>91</v>
      </c>
      <c r="CO351" s="11" t="s">
        <v>92</v>
      </c>
      <c r="CP351" s="11" t="s">
        <v>93</v>
      </c>
      <c r="CQ351" s="13" t="s">
        <v>94</v>
      </c>
      <c r="CR351" s="13" t="s">
        <v>95</v>
      </c>
      <c r="CS351" s="13" t="s">
        <v>96</v>
      </c>
      <c r="CT351" s="13"/>
      <c r="CU351" s="13" t="s">
        <v>98</v>
      </c>
      <c r="CV351" s="7" t="s">
        <v>99</v>
      </c>
      <c r="CW351" s="13" t="s">
        <v>663</v>
      </c>
      <c r="CX351" s="16" t="s">
        <v>101</v>
      </c>
      <c r="CY351" s="13" t="s">
        <v>102</v>
      </c>
      <c r="CZ351" s="13" t="s">
        <v>103</v>
      </c>
      <c r="DA351" s="13" t="s">
        <v>104</v>
      </c>
      <c r="DB351" s="13" t="s">
        <v>105</v>
      </c>
      <c r="DC351" s="7" t="s">
        <v>664</v>
      </c>
      <c r="DD351" s="13" t="s">
        <v>107</v>
      </c>
      <c r="DE351" s="13" t="s">
        <v>665</v>
      </c>
      <c r="DF351" s="13" t="s">
        <v>109</v>
      </c>
      <c r="DG351" s="13" t="s">
        <v>110</v>
      </c>
      <c r="DH351" s="13" t="s">
        <v>111</v>
      </c>
      <c r="DI351" s="13" t="s">
        <v>112</v>
      </c>
      <c r="DJ351" s="13" t="s">
        <v>113</v>
      </c>
      <c r="DK351" s="13" t="s">
        <v>114</v>
      </c>
      <c r="DL351" s="13" t="s">
        <v>115</v>
      </c>
      <c r="DM351" s="13" t="s">
        <v>116</v>
      </c>
      <c r="DN351" s="13" t="s">
        <v>117</v>
      </c>
      <c r="DO351" s="13" t="s">
        <v>118</v>
      </c>
      <c r="DP351" s="7" t="s">
        <v>119</v>
      </c>
      <c r="DQ351" s="7" t="s">
        <v>120</v>
      </c>
      <c r="DR351" s="17" t="s">
        <v>121</v>
      </c>
      <c r="DS351" s="7" t="s">
        <v>122</v>
      </c>
      <c r="DT351" s="17" t="s">
        <v>123</v>
      </c>
      <c r="DU351" s="7" t="s">
        <v>124</v>
      </c>
      <c r="DV351" s="7" t="s">
        <v>125</v>
      </c>
      <c r="DW351" s="7" t="s">
        <v>126</v>
      </c>
      <c r="DX351" s="7" t="s">
        <v>127</v>
      </c>
      <c r="DY351" s="7" t="s">
        <v>128</v>
      </c>
      <c r="DZ351" s="7" t="s">
        <v>129</v>
      </c>
      <c r="EA351" s="17" t="s">
        <v>130</v>
      </c>
      <c r="EB351" s="7" t="s">
        <v>131</v>
      </c>
      <c r="EC351" s="7" t="s">
        <v>132</v>
      </c>
      <c r="ED351" s="7" t="s">
        <v>133</v>
      </c>
      <c r="EE351" s="7" t="s">
        <v>134</v>
      </c>
      <c r="EF351" s="7" t="s">
        <v>135</v>
      </c>
      <c r="EG351" s="7" t="s">
        <v>136</v>
      </c>
      <c r="EH351" s="7" t="s">
        <v>137</v>
      </c>
      <c r="EI351" s="7" t="s">
        <v>666</v>
      </c>
      <c r="EJ351" s="7" t="s">
        <v>139</v>
      </c>
      <c r="EK351" s="18" t="s">
        <v>140</v>
      </c>
      <c r="EL351" s="7" t="s">
        <v>141</v>
      </c>
      <c r="EM351" s="7" t="s">
        <v>142</v>
      </c>
      <c r="EN351" s="7" t="s">
        <v>143</v>
      </c>
      <c r="EO351" s="7" t="s">
        <v>144</v>
      </c>
      <c r="EP351" s="7" t="s">
        <v>145</v>
      </c>
      <c r="EQ351" s="7" t="s">
        <v>146</v>
      </c>
      <c r="ER351" s="13" t="s">
        <v>667</v>
      </c>
      <c r="ES351" s="7" t="s">
        <v>148</v>
      </c>
      <c r="ET351" s="7" t="s">
        <v>149</v>
      </c>
      <c r="EU351" s="7" t="s">
        <v>668</v>
      </c>
      <c r="EV351" s="7" t="s">
        <v>151</v>
      </c>
      <c r="EW351" s="7" t="s">
        <v>152</v>
      </c>
      <c r="EX351" s="7" t="s">
        <v>153</v>
      </c>
      <c r="EY351" s="7" t="s">
        <v>669</v>
      </c>
      <c r="EZ351" s="7" t="s">
        <v>670</v>
      </c>
      <c r="FA351" s="7" t="s">
        <v>156</v>
      </c>
      <c r="FB351" s="7" t="s">
        <v>157</v>
      </c>
      <c r="FC351" s="7" t="s">
        <v>158</v>
      </c>
      <c r="FD351" s="7" t="s">
        <v>671</v>
      </c>
      <c r="FE351" s="7" t="s">
        <v>672</v>
      </c>
      <c r="FF351" s="7" t="s">
        <v>161</v>
      </c>
      <c r="FG351" s="7" t="s">
        <v>162</v>
      </c>
      <c r="FH351" s="7" t="s">
        <v>673</v>
      </c>
      <c r="FI351" s="7" t="s">
        <v>164</v>
      </c>
      <c r="FJ351" s="7" t="s">
        <v>674</v>
      </c>
      <c r="FK351" s="7" t="s">
        <v>166</v>
      </c>
      <c r="FL351" s="7" t="s">
        <v>167</v>
      </c>
      <c r="FM351" s="7" t="s">
        <v>168</v>
      </c>
      <c r="FN351" s="7" t="s">
        <v>675</v>
      </c>
      <c r="FO351" s="7" t="s">
        <v>170</v>
      </c>
      <c r="FP351" s="7" t="s">
        <v>171</v>
      </c>
      <c r="FQ351" s="7" t="s">
        <v>172</v>
      </c>
      <c r="FR351" s="7" t="s">
        <v>676</v>
      </c>
      <c r="FS351" s="7" t="s">
        <v>174</v>
      </c>
      <c r="FT351" s="7" t="s">
        <v>175</v>
      </c>
      <c r="FU351" s="7" t="s">
        <v>176</v>
      </c>
      <c r="FV351" s="13" t="s">
        <v>177</v>
      </c>
      <c r="FW351" s="11" t="s">
        <v>178</v>
      </c>
      <c r="FX351" s="13" t="s">
        <v>179</v>
      </c>
      <c r="FY351" s="7" t="s">
        <v>180</v>
      </c>
      <c r="FZ351" s="7" t="s">
        <v>181</v>
      </c>
      <c r="GA351" s="7" t="s">
        <v>182</v>
      </c>
      <c r="GB351" s="9" t="s">
        <v>183</v>
      </c>
      <c r="GC351" s="20" t="s">
        <v>184</v>
      </c>
      <c r="GD351" s="20" t="s">
        <v>185</v>
      </c>
      <c r="GE351" s="20" t="s">
        <v>186</v>
      </c>
      <c r="GF351" s="20" t="s">
        <v>187</v>
      </c>
      <c r="GG351" s="21" t="s">
        <v>188</v>
      </c>
      <c r="GH351" s="21" t="s">
        <v>189</v>
      </c>
      <c r="GI351" s="7" t="s">
        <v>190</v>
      </c>
      <c r="GJ351" s="7" t="s">
        <v>191</v>
      </c>
      <c r="GK351" s="7" t="s">
        <v>192</v>
      </c>
      <c r="GL351" s="7" t="s">
        <v>193</v>
      </c>
      <c r="GM351" s="7" t="s">
        <v>194</v>
      </c>
      <c r="GN351" s="7" t="s">
        <v>195</v>
      </c>
      <c r="GO351" s="22" t="s">
        <v>196</v>
      </c>
      <c r="GP351" s="22" t="s">
        <v>197</v>
      </c>
      <c r="GQ351" s="7" t="s">
        <v>677</v>
      </c>
      <c r="GR351" s="7" t="s">
        <v>199</v>
      </c>
      <c r="GS351" s="22" t="s">
        <v>678</v>
      </c>
      <c r="GT351" s="7" t="s">
        <v>201</v>
      </c>
      <c r="GU351" s="7" t="s">
        <v>202</v>
      </c>
      <c r="GV351" s="7" t="s">
        <v>203</v>
      </c>
      <c r="GW351" s="7" t="s">
        <v>204</v>
      </c>
      <c r="GX351" s="7" t="s">
        <v>205</v>
      </c>
      <c r="GY351" s="7" t="s">
        <v>206</v>
      </c>
      <c r="GZ351" s="7" t="s">
        <v>679</v>
      </c>
      <c r="HA351" s="7" t="s">
        <v>680</v>
      </c>
      <c r="HB351" s="7" t="s">
        <v>209</v>
      </c>
      <c r="HC351" s="7" t="s">
        <v>210</v>
      </c>
      <c r="HD351" s="7" t="s">
        <v>211</v>
      </c>
      <c r="HE351" s="7" t="s">
        <v>212</v>
      </c>
      <c r="HF351" s="7" t="s">
        <v>213</v>
      </c>
      <c r="HG351" s="7" t="s">
        <v>214</v>
      </c>
      <c r="HH351" s="7" t="s">
        <v>681</v>
      </c>
      <c r="HI351" s="9" t="s">
        <v>216</v>
      </c>
      <c r="HJ351" s="7" t="s">
        <v>217</v>
      </c>
      <c r="HK351" s="17" t="s">
        <v>218</v>
      </c>
      <c r="HL351" s="7" t="s">
        <v>219</v>
      </c>
      <c r="HM351" s="7" t="s">
        <v>220</v>
      </c>
      <c r="HN351" s="9" t="s">
        <v>221</v>
      </c>
      <c r="HO351" s="7" t="s">
        <v>222</v>
      </c>
      <c r="HP351" s="7" t="s">
        <v>223</v>
      </c>
      <c r="HQ351" s="7" t="s">
        <v>224</v>
      </c>
      <c r="HR351" s="7" t="s">
        <v>682</v>
      </c>
      <c r="HS351" s="7" t="s">
        <v>226</v>
      </c>
      <c r="HT351" s="7" t="s">
        <v>227</v>
      </c>
      <c r="HU351" s="7" t="s">
        <v>228</v>
      </c>
      <c r="HV351" s="7" t="s">
        <v>229</v>
      </c>
      <c r="HW351" s="7" t="s">
        <v>683</v>
      </c>
      <c r="HX351" s="7" t="s">
        <v>231</v>
      </c>
      <c r="HY351" s="7" t="s">
        <v>232</v>
      </c>
      <c r="HZ351" s="7" t="s">
        <v>233</v>
      </c>
      <c r="IA351" s="7" t="s">
        <v>234</v>
      </c>
      <c r="IB351" s="23" t="s">
        <v>235</v>
      </c>
      <c r="IC351" s="24" t="s">
        <v>236</v>
      </c>
      <c r="ID351" s="23" t="s">
        <v>237</v>
      </c>
      <c r="IE351" s="23" t="s">
        <v>238</v>
      </c>
      <c r="IF351" s="23" t="s">
        <v>684</v>
      </c>
      <c r="IG351" s="23" t="s">
        <v>685</v>
      </c>
      <c r="IH351" s="23" t="s">
        <v>241</v>
      </c>
      <c r="II351" s="23" t="s">
        <v>686</v>
      </c>
      <c r="IJ351" s="23" t="s">
        <v>243</v>
      </c>
      <c r="IK351" s="23" t="s">
        <v>244</v>
      </c>
      <c r="IL351" s="23" t="s">
        <v>245</v>
      </c>
      <c r="IM351" s="23" t="s">
        <v>246</v>
      </c>
      <c r="IN351" s="23" t="s">
        <v>247</v>
      </c>
      <c r="IO351" s="23" t="s">
        <v>248</v>
      </c>
      <c r="IP351" s="23" t="s">
        <v>249</v>
      </c>
      <c r="IQ351" s="23" t="s">
        <v>250</v>
      </c>
      <c r="IR351" s="24" t="s">
        <v>251</v>
      </c>
      <c r="IS351" s="23" t="s">
        <v>687</v>
      </c>
      <c r="IT351" s="23" t="s">
        <v>253</v>
      </c>
      <c r="IU351" s="23" t="s">
        <v>688</v>
      </c>
      <c r="IV351" s="23" t="s">
        <v>255</v>
      </c>
      <c r="IW351" s="23" t="s">
        <v>256</v>
      </c>
      <c r="IX351" s="23" t="s">
        <v>257</v>
      </c>
      <c r="IY351" s="23" t="s">
        <v>258</v>
      </c>
      <c r="IZ351" s="23" t="s">
        <v>259</v>
      </c>
      <c r="JA351" s="23" t="s">
        <v>260</v>
      </c>
      <c r="JB351" s="23" t="s">
        <v>261</v>
      </c>
      <c r="JC351" s="23" t="s">
        <v>262</v>
      </c>
      <c r="JD351" s="23" t="s">
        <v>263</v>
      </c>
      <c r="JE351" s="7" t="s">
        <v>264</v>
      </c>
      <c r="JF351" s="7" t="s">
        <v>265</v>
      </c>
      <c r="JG351" s="7" t="s">
        <v>266</v>
      </c>
      <c r="JH351" s="7" t="s">
        <v>267</v>
      </c>
      <c r="JI351" s="7" t="s">
        <v>268</v>
      </c>
      <c r="JJ351" s="7" t="s">
        <v>269</v>
      </c>
      <c r="JK351" s="7" t="s">
        <v>270</v>
      </c>
      <c r="JL351" s="7" t="s">
        <v>271</v>
      </c>
      <c r="AMI351" s="0"/>
      <c r="AMJ351" s="0"/>
    </row>
    <row collapsed="false" customFormat="false" customHeight="false" hidden="false" ht="12.8" outlineLevel="0" r="352">
      <c r="A352" s="347" t="s">
        <v>689</v>
      </c>
    </row>
    <row collapsed="false" customFormat="false" customHeight="false" hidden="false" ht="12.8" outlineLevel="0" r="353">
      <c r="A353" s="348" t="s">
        <v>690</v>
      </c>
    </row>
    <row collapsed="false" customFormat="false" customHeight="false" hidden="false" ht="12.8" outlineLevel="0" r="354">
      <c r="A354" s="349" t="s">
        <v>691</v>
      </c>
      <c r="GJ354" s="0"/>
    </row>
    <row collapsed="false" customFormat="false" customHeight="false" hidden="false" ht="19.4" outlineLevel="0" r="355">
      <c r="A355" s="350" t="s">
        <v>692</v>
      </c>
      <c r="GJ355" s="0"/>
    </row>
    <row collapsed="false" customFormat="false" customHeight="false" hidden="false" ht="12.8" outlineLevel="0" r="356">
      <c r="A356" s="351" t="s">
        <v>693</v>
      </c>
      <c r="GJ356" s="0"/>
    </row>
  </sheetData>
  <printOptions headings="false" gridLines="false" gridLinesSet="true" horizontalCentered="true" verticalCentered="false"/>
  <pageMargins left="0.4" right="0.4" top="0.5" bottom="0.410416666666667" header="0.25" footer="0.270138888888889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>&amp;LKatherine (Kitty) Antonik&amp;CTotals Only from Supplement Regimen of Mainly Multi-Source Constituents &amp;R3/10/06 </oddHeader>
    <oddFooter>&amp;LPage &amp;P of &amp;N&amp;Rhttp://morelife.org/personal/health/regimen_ingredients_2meals.xls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7647058823529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7647058823529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7579316</TotalTime>
  <Application>OpenOffice.org/3.2$Unix OpenOffice.org_project/320m19$Build-9505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2000-09-22T17:55:17.00Z</dcterms:created>
  <dc:creator>Paul</dc:creator>
  <cp:lastModifiedBy>Kitty </cp:lastModifiedBy>
  <cp:lastPrinted>2006-03-10T21:06:24.00Z</cp:lastPrinted>
  <dcterms:modified xsi:type="dcterms:W3CDTF">2011-10-04T22:52:45.00Z</dcterms:modified>
  <cp:revision>427</cp:revision>
</cp:coreProperties>
</file>