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  <sheet name="Sheet2" sheetId="2" r:id="rId2"/>
    <sheet name="Sheet3" sheetId="3" r:id="rId3"/>
  </sheets>
  <definedNames>
    <definedName name="can_1">"$Sheet1.$#REF!$#REF!"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Arial"/>
            <family val="1"/>
          </rPr>
          <t xml:space="preserve">Paul Wakfer:
</t>
        </r>
        <r>
          <rPr>
            <sz val="8"/>
            <color indexed="8"/>
            <rFont val="Arial"/>
            <family val="1"/>
          </rPr>
          <t>Color coding - BLUE= items taken only by Paul
PINK=items taken only by Kitty. 
Ignore yellow; internal checking only.</t>
        </r>
      </text>
    </comment>
    <comment ref="F1" authorId="0">
      <text>
        <r>
          <rPr>
            <b/>
            <sz val="8"/>
            <color indexed="8"/>
            <rFont val="Arial"/>
            <family val="1"/>
          </rPr>
          <t>1/2/05: extract of Boswella acid</t>
        </r>
      </text>
    </comment>
    <comment ref="I1" authorId="0">
      <text>
        <r>
          <rPr>
            <b/>
            <sz val="8"/>
            <color indexed="8"/>
            <rFont val="Arial"/>
            <family val="1"/>
          </rPr>
          <t xml:space="preserve">1/2/05: mushroom mycelium extract
</t>
        </r>
      </text>
    </comment>
    <comment ref="U1" authorId="0">
      <text>
        <r>
          <rPr>
            <b/>
            <sz val="8"/>
            <color indexed="8"/>
            <rFont val="Arial"/>
            <family val="1"/>
          </rPr>
          <t xml:space="preserve">1/2/05: common item in many products
</t>
        </r>
      </text>
    </comment>
    <comment ref="AD1" authorId="0">
      <text>
        <r>
          <rPr>
            <b/>
            <sz val="8"/>
            <color indexed="8"/>
            <rFont val="Arial"/>
            <family val="1"/>
          </rPr>
          <t>1/12/06: Includes hesperidin, eriocitrin, naringen and
naringenin</t>
        </r>
      </text>
    </comment>
    <comment ref="AL1" authorId="0">
      <text>
        <r>
          <rPr>
            <b/>
            <sz val="8"/>
            <color indexed="8"/>
            <rFont val="Arial"/>
            <family val="1"/>
          </rPr>
          <t>1/26/06: also see propyl -l-carnitine</t>
        </r>
      </text>
    </comment>
    <comment ref="AM1" authorId="0">
      <text>
        <r>
          <rPr>
            <b/>
            <sz val="8"/>
            <color indexed="8"/>
            <rFont val="Arial"/>
            <family val="1"/>
          </rPr>
          <t xml:space="preserve">1/26/06: Total, also broken out into separate constituents.
</t>
        </r>
      </text>
    </comment>
    <comment ref="AQ1" authorId="0">
      <text>
        <r>
          <rPr>
            <b/>
            <sz val="8"/>
            <color indexed="8"/>
            <rFont val="Arial"/>
            <family val="1"/>
          </rPr>
          <t xml:space="preserve">10/12/05: from green tea; see also ECGC
</t>
        </r>
      </text>
    </comment>
    <comment ref="BX1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original source is green tea</t>
        </r>
      </text>
    </comment>
    <comment ref="BZ1" authorId="0">
      <text>
        <r>
          <rPr>
            <b/>
            <sz val="8"/>
            <color indexed="8"/>
            <rFont val="Arial"/>
            <family val="1"/>
          </rPr>
          <t>1/1/05: contains Naringen(in), Naringenin, &amp; Eriocintrin 
&amp; 7-B rutinoside (Hesperidin listed separately)</t>
        </r>
      </text>
    </comment>
    <comment ref="CX1" authorId="0">
      <text>
        <r>
          <rPr>
            <b/>
            <sz val="8"/>
            <color indexed="8"/>
            <rFont val="Arial"/>
            <family val="1"/>
          </rPr>
          <t xml:space="preserve">1/26/06: Total, also broken out into separate constituents.
</t>
        </r>
      </text>
    </comment>
    <comment ref="DW1" authorId="0">
      <text>
        <r>
          <rPr>
            <sz val="10"/>
            <rFont val="Arial"/>
            <family val="2"/>
          </rPr>
          <t>also known as Peruvian ginseng</t>
        </r>
      </text>
    </comment>
    <comment ref="ER1" authorId="0">
      <text>
        <r>
          <rPr>
            <sz val="10"/>
            <rFont val="Arial"/>
            <family val="2"/>
          </rPr>
          <t>Product name Bioperine</t>
        </r>
      </text>
    </comment>
    <comment ref="FB1" authorId="0">
      <text>
        <r>
          <rPr>
            <b/>
            <sz val="8"/>
            <color indexed="8"/>
            <rFont val="Arial"/>
            <family val="1"/>
          </rPr>
          <t>4/25/04: enhanced octacosanol extract</t>
        </r>
      </text>
    </comment>
    <comment ref="FO1" authorId="0">
      <text>
        <r>
          <rPr>
            <b/>
            <sz val="8"/>
            <color indexed="8"/>
            <rFont val="Arial"/>
            <family val="1"/>
          </rPr>
          <t>1/2/05: standardized to 3% rosavins &amp; 1% salidrosides</t>
        </r>
      </text>
    </comment>
    <comment ref="GH1" authorId="0">
      <text>
        <r>
          <rPr>
            <b/>
            <sz val="8"/>
            <color indexed="8"/>
            <rFont val="Arial"/>
            <family val="1"/>
          </rPr>
          <t xml:space="preserve">1/2/05: wheat sprout concentrate
</t>
        </r>
      </text>
    </comment>
    <comment ref="GL1" authorId="0">
      <text>
        <r>
          <rPr>
            <sz val="10"/>
            <rFont val="Arial"/>
            <family val="2"/>
          </rPr>
          <t>7/7/06: standardized to 13% isoflavones (52 mg), 18% Group-B Saponins (72 mg)</t>
        </r>
      </text>
    </comment>
    <comment ref="HQ1" authorId="0">
      <text>
        <r>
          <rPr>
            <b/>
            <sz val="8"/>
            <color indexed="8"/>
            <rFont val="Arial"/>
            <family val="1"/>
          </rPr>
          <t xml:space="preserve">1/2/05: Includes acetate version
</t>
        </r>
      </text>
    </comment>
    <comment ref="HU1" authorId="0">
      <text>
        <r>
          <rPr>
            <b/>
            <sz val="8"/>
            <color indexed="8"/>
            <rFont val="Arial"/>
            <family val="1"/>
          </rPr>
          <t>4/25/04: insignificant relative Vit E acitivity (Ius)</t>
        </r>
      </text>
    </comment>
    <comment ref="HV1" authorId="0">
      <text>
        <r>
          <rPr>
            <b/>
            <sz val="8"/>
            <color indexed="8"/>
            <rFont val="Arial"/>
            <family val="1"/>
          </rPr>
          <t>4/25/04: insignificant relative Vit E acitivity (Ius)</t>
        </r>
      </text>
    </comment>
    <comment ref="HW1" authorId="0">
      <text>
        <r>
          <rPr>
            <b/>
            <sz val="8"/>
            <color indexed="8"/>
            <rFont val="Arial"/>
            <family val="1"/>
          </rPr>
          <t>4/25/04: 0.3  relative Vit E acitivity (Ius)</t>
        </r>
      </text>
    </comment>
    <comment ref="HX1" authorId="0">
      <text>
        <r>
          <rPr>
            <b/>
            <sz val="8"/>
            <color indexed="8"/>
            <rFont val="Arial"/>
            <family val="1"/>
          </rPr>
          <t>4/25/04: 0.3  relative Vit E acitivity (Ius)</t>
        </r>
      </text>
    </comment>
    <comment ref="A3" authorId="0">
      <text>
        <r>
          <rPr>
            <sz val="8"/>
            <rFont val="Arial"/>
            <family val="2"/>
          </rPr>
          <t>4/7/08: for Ontario use where acai pulp not available</t>
        </r>
      </text>
    </comment>
    <comment ref="G3" authorId="0">
      <text>
        <r>
          <rPr>
            <sz val="8"/>
            <rFont val="Arial"/>
            <family val="2"/>
          </rPr>
          <t>4/7/08: Acai (Euterpe oleracea Mart.) (fruit pulp) 1000 mg</t>
        </r>
      </text>
    </comment>
    <comment ref="A4" authorId="0">
      <text>
        <r>
          <rPr>
            <sz val="10"/>
            <rFont val="Arial"/>
            <family val="2"/>
          </rPr>
          <t>10/29/06 added</t>
        </r>
      </text>
    </comment>
    <comment ref="AN4" authorId="0">
      <text>
        <r>
          <rPr>
            <b/>
            <sz val="8"/>
            <color indexed="8"/>
            <rFont val="Arial"/>
            <family val="1"/>
          </rPr>
          <t>1/30/06: MW glyceine=75
2/6/07: same total</t>
        </r>
      </text>
    </comment>
    <comment ref="CW4" authorId="0">
      <text>
        <r>
          <rPr>
            <b/>
            <sz val="8"/>
            <color indexed="8"/>
            <rFont val="Arial"/>
            <family val="1"/>
          </rPr>
          <t>1/30/06: MW glyceine=75
2/6/07: same total</t>
        </r>
      </text>
    </comment>
    <comment ref="A5" authorId="0">
      <text>
        <r>
          <rPr>
            <b/>
            <sz val="8"/>
            <color indexed="8"/>
            <rFont val="Arial"/>
            <family val="1"/>
          </rPr>
          <t xml:space="preserve">1/2/05: replaces MGN-3
</t>
        </r>
      </text>
    </comment>
    <comment ref="E5" authorId="0">
      <text>
        <r>
          <rPr>
            <sz val="8"/>
            <color indexed="8"/>
            <rFont val="Arial"/>
            <family val="1"/>
          </rPr>
          <t>1/2/05: before B &amp; S
2/2/07: am nf &amp;pf</t>
        </r>
      </text>
    </comment>
    <comment ref="A6" authorId="0">
      <text>
        <r>
          <rPr>
            <b/>
            <sz val="8"/>
            <color indexed="8"/>
            <rFont val="Arial"/>
            <family val="1"/>
          </rPr>
          <t xml:space="preserve">5//06: Restarted for Kitty only when pain &amp; swelling in middle finger of R hand returned. 
1/06 Stopped for both Paul &amp; Kitty.
9/2/05: Kitty using for R ring finger; 1/2/05: replacing Chondrox for Paul's thumb; temporarily w/ flare-ups
Also contains fruit extract containing nobiletin &amp; tangeretin 300mg tot 
</t>
        </r>
      </text>
    </comment>
    <comment ref="E6" authorId="0">
      <text>
        <r>
          <rPr>
            <sz val="8"/>
            <rFont val="Arial"/>
            <family val="2"/>
          </rPr>
          <t>2/2/07: Paul started</t>
        </r>
      </text>
    </comment>
    <comment ref="F6" authorId="0">
      <text>
        <r>
          <rPr>
            <sz val="8"/>
            <rFont val="Arial"/>
            <family val="2"/>
          </rPr>
          <t xml:space="preserve">2/5/07: [std for acetyl-11-keto-ß-boswellic acid (AKBA) minimum 30% on dried basis (22.5 mg)] </t>
        </r>
      </text>
    </comment>
    <comment ref="A7" authorId="0">
      <text>
        <r>
          <rPr>
            <b/>
            <sz val="8"/>
            <color indexed="8"/>
            <rFont val="Arial"/>
            <family val="1"/>
          </rPr>
          <t xml:space="preserve">5//06: Restarted for Kitty only when pain &amp; swelling in middle finger of R hand returned. 
1/06 Stopped for both Paul &amp; Kitty.
9/2/05: Kitty using for R ring finger; 1/2/05: replacing Chondrox for Paul's thumb; temporarily w/ flare-ups
Also contains fruit extract containing nobiletin &amp; tangeretin 300mg tot 
</t>
        </r>
      </text>
    </comment>
    <comment ref="F7" authorId="0">
      <text>
        <r>
          <rPr>
            <sz val="8"/>
            <rFont val="Arial"/>
            <family val="2"/>
          </rPr>
          <t>2/5/07: [std for acetyl-11-keto-ß-boswellic acid (AKBA) minimum 30% on dried basis (22.5 m</t>
        </r>
      </text>
    </comment>
    <comment ref="A8" authorId="0">
      <text>
        <r>
          <rPr>
            <b/>
            <sz val="8"/>
            <color indexed="8"/>
            <rFont val="Arial"/>
            <family val="1"/>
          </rPr>
          <t xml:space="preserve">10/06: Restarted for Kitty only when pain &amp; swelling in middle finger of R hand returned. 
1/06 Stopped for both Paul &amp; Kitty.
10/12/05: added
</t>
        </r>
      </text>
    </comment>
    <comment ref="E8" authorId="0">
      <text>
        <r>
          <rPr>
            <sz val="8"/>
            <rFont val="Arial"/>
            <family val="2"/>
          </rPr>
          <t>2/2/07: Paul started</t>
        </r>
      </text>
    </comment>
    <comment ref="F8" authorId="0">
      <text>
        <r>
          <rPr>
            <sz val="8"/>
            <rFont val="Arial"/>
            <family val="2"/>
          </rPr>
          <t>2/5/07: [std for acetyl-11-keto-ß-boswellic acid (AKBA) minimum 30% on dried basis (22.5 mg)]</t>
        </r>
      </text>
    </comment>
    <comment ref="CG8" authorId="0">
      <text>
        <r>
          <rPr>
            <b/>
            <sz val="8"/>
            <color indexed="8"/>
            <rFont val="Arial"/>
            <family val="1"/>
          </rPr>
          <t xml:space="preserve">10/12/05: same breakdown as chondroitin sulfate product
</t>
        </r>
      </text>
    </comment>
    <comment ref="CT8" authorId="0">
      <text>
        <r>
          <rPr>
            <b/>
            <sz val="8"/>
            <color indexed="8"/>
            <rFont val="Arial"/>
            <family val="1"/>
          </rPr>
          <t>10/12/05: same breakdown as Chondroitin sulfate product</t>
        </r>
      </text>
    </comment>
    <comment ref="A9" authorId="0">
      <text>
        <r>
          <rPr>
            <b/>
            <sz val="8"/>
            <color indexed="8"/>
            <rFont val="Arial"/>
            <family val="1"/>
          </rPr>
          <t xml:space="preserve">10/06: Restarted for Kitty only when pain &amp; swelling in middle finger of R hand returned. 
1/06 Stopped for both Paul &amp; Kitty.
10/12/05: added
</t>
        </r>
      </text>
    </comment>
    <comment ref="F9" authorId="0">
      <text>
        <r>
          <rPr>
            <sz val="8"/>
            <rFont val="Arial"/>
            <family val="2"/>
          </rPr>
          <t>2/5/07: [std for acetyl-11-keto-ß-boswellic acid (AKBA) minimum 30% on dried basis (22.5 mg)]</t>
        </r>
      </text>
    </comment>
    <comment ref="CG9" authorId="0">
      <text>
        <r>
          <rPr>
            <b/>
            <sz val="8"/>
            <color indexed="8"/>
            <rFont val="Arial"/>
            <family val="1"/>
          </rPr>
          <t xml:space="preserve">10/12/05: same breakdown as chondroitin sulfate product
</t>
        </r>
      </text>
    </comment>
    <comment ref="CT9" authorId="0">
      <text>
        <r>
          <rPr>
            <b/>
            <sz val="8"/>
            <color indexed="8"/>
            <rFont val="Arial"/>
            <family val="1"/>
          </rPr>
          <t>10/12/05: same breakdown as Chondroitin sulfate product</t>
        </r>
      </text>
    </comment>
    <comment ref="E10" authorId="0">
      <text>
        <r>
          <rPr>
            <sz val="10"/>
            <rFont val="Arial"/>
            <family val="2"/>
          </rPr>
          <t xml:space="preserve">11/17/06: reduced from 2 daily </t>
        </r>
      </text>
    </comment>
    <comment ref="S10" authorId="0">
      <text>
        <r>
          <rPr>
            <sz val="8"/>
            <rFont val="Arial"/>
            <family val="2"/>
          </rPr>
          <t>1/24/07: change from #445
extract blend standarcized to 5% cynarin, cholorgenic acid and other caffeic acid derivatives.</t>
        </r>
      </text>
    </comment>
    <comment ref="A11" authorId="0">
      <text>
        <r>
          <rPr>
            <sz val="10"/>
            <rFont val="Arial"/>
            <family val="2"/>
          </rPr>
          <t>Added 7/6/06</t>
        </r>
      </text>
    </comment>
    <comment ref="E11" authorId="0">
      <text>
        <r>
          <rPr>
            <sz val="8"/>
            <rFont val="Arial"/>
            <family val="2"/>
          </rPr>
          <t>6/8/07: reduced from 3; reduce of total pill qty</t>
        </r>
      </text>
    </comment>
    <comment ref="A12" authorId="0">
      <text>
        <r>
          <rPr>
            <sz val="10"/>
            <rFont val="Arial"/>
            <family val="2"/>
          </rPr>
          <t>Added 7/6/06</t>
        </r>
      </text>
    </comment>
    <comment ref="E12" authorId="0">
      <text>
        <r>
          <rPr>
            <sz val="8"/>
            <rFont val="Arial"/>
            <family val="2"/>
          </rPr>
          <t>2/2/07: added 2nd nf for Kitty
6/8/07: reduced from 2; reduce of total pill qty</t>
        </r>
      </text>
    </comment>
    <comment ref="C13" authorId="0">
      <text>
        <r>
          <rPr>
            <sz val="8"/>
            <rFont val="Arial"/>
            <family val="2"/>
          </rPr>
          <t>6/08: replaces #708</t>
        </r>
      </text>
    </comment>
    <comment ref="E13" authorId="0">
      <text>
        <r>
          <rPr>
            <sz val="8"/>
            <rFont val="Arial"/>
            <family val="2"/>
          </rPr>
          <t>4/30/07: incr from 2 daily</t>
        </r>
      </text>
    </comment>
    <comment ref="C14" authorId="0">
      <text>
        <r>
          <rPr>
            <sz val="8"/>
            <rFont val="Arial"/>
            <family val="2"/>
          </rPr>
          <t>6/08: replaces #708</t>
        </r>
      </text>
    </comment>
    <comment ref="E14" authorId="0">
      <text>
        <r>
          <rPr>
            <sz val="8"/>
            <rFont val="Arial"/>
            <family val="2"/>
          </rPr>
          <t>4/30/07: incr from 2 daily</t>
        </r>
      </text>
    </comment>
    <comment ref="A15" authorId="0">
      <text>
        <r>
          <rPr>
            <sz val="8"/>
            <rFont val="Arial"/>
            <family val="2"/>
          </rPr>
          <t>4/07: new item added</t>
        </r>
      </text>
    </comment>
    <comment ref="A16" authorId="0">
      <text>
        <r>
          <rPr>
            <sz val="8"/>
            <rFont val="Arial"/>
            <family val="2"/>
          </rPr>
          <t>4/07: new item added</t>
        </r>
      </text>
    </comment>
    <comment ref="E17" authorId="0">
      <text>
        <r>
          <rPr>
            <sz val="8"/>
            <rFont val="Arial"/>
            <family val="2"/>
          </rPr>
          <t>4/14/07: incr from 1 due to incr info on benefits</t>
        </r>
      </text>
    </comment>
    <comment ref="A18" authorId="0">
      <text>
        <r>
          <rPr>
            <b/>
            <sz val="8"/>
            <color indexed="8"/>
            <rFont val="Arial"/>
            <family val="1"/>
          </rPr>
          <t xml:space="preserve">1/2/05: includes sm amt saw palmetto
</t>
        </r>
      </text>
    </comment>
    <comment ref="E19" authorId="0">
      <text>
        <r>
          <rPr>
            <b/>
            <sz val="8"/>
            <color indexed="8"/>
            <rFont val="Arial"/>
            <family val="1"/>
          </rPr>
          <t>1/10/05; decreased from 3
1/20/07: decr due to addition of benfotiamine w/ thiamine</t>
        </r>
      </text>
    </comment>
    <comment ref="A21" authorId="0">
      <text>
        <r>
          <rPr>
            <sz val="8"/>
            <rFont val="Arial"/>
            <family val="2"/>
          </rPr>
          <t>1/20/07: new addition
4/6/07: chnged from #920 to newer prod</t>
        </r>
      </text>
    </comment>
    <comment ref="O22" authorId="0">
      <text>
        <r>
          <rPr>
            <b/>
            <sz val="8"/>
            <color indexed="8"/>
            <rFont val="Arial"/>
            <family val="1"/>
          </rPr>
          <t>4/26/04: standardized for 25%</t>
        </r>
      </text>
    </comment>
    <comment ref="GF23" authorId="0">
      <text>
        <r>
          <rPr>
            <sz val="8"/>
            <rFont val="Arial"/>
            <family val="2"/>
          </rPr>
          <t>4/12//07: as Stabilized Orthosilicic Acid</t>
        </r>
      </text>
    </comment>
    <comment ref="C26" authorId="0">
      <text>
        <r>
          <rPr>
            <sz val="8"/>
            <rFont val="Arial"/>
            <family val="2"/>
          </rPr>
          <t>1/12/08: change from #938- added cocoa</t>
        </r>
      </text>
    </comment>
    <comment ref="P26" authorId="0">
      <text>
        <r>
          <rPr>
            <sz val="8"/>
            <color indexed="8"/>
            <rFont val="Arial"/>
            <family val="1"/>
          </rPr>
          <t xml:space="preserve">12/6/05: wild blueberry extract
1/12/08: same
</t>
        </r>
      </text>
    </comment>
    <comment ref="AY26" authorId="0">
      <text>
        <r>
          <rPr>
            <sz val="8"/>
            <rFont val="Arial"/>
            <family val="2"/>
          </rPr>
          <t>1/13/08: stnd to 45% polyphenols (listed separately)</t>
        </r>
      </text>
    </comment>
    <comment ref="FC26" authorId="0">
      <text>
        <r>
          <rPr>
            <sz val="8"/>
            <rFont val="Arial"/>
            <family val="2"/>
          </rPr>
          <t>1/13/08: from cocoa extract</t>
        </r>
      </text>
    </comment>
    <comment ref="FD26" authorId="0">
      <text>
        <r>
          <rPr>
            <sz val="8"/>
            <rFont val="Arial"/>
            <family val="2"/>
          </rPr>
          <t xml:space="preserve">1/24/07: standardized to 30% Punicalagins (60 mg)
1/12/08: same
</t>
        </r>
      </text>
    </comment>
    <comment ref="A27" authorId="0">
      <text>
        <r>
          <rPr>
            <b/>
            <sz val="8"/>
            <color indexed="8"/>
            <rFont val="Arial"/>
            <family val="1"/>
          </rPr>
          <t xml:space="preserve">1/2/05: Replaces Bone Assure
early 2006 product #change from 779; no constituent changes
</t>
        </r>
        <r>
          <rPr>
            <sz val="8"/>
            <color indexed="8"/>
            <rFont val="Arial"/>
            <family val="2"/>
          </rPr>
          <t>5/1/07: no reorder; sufficient intake w/ other items</t>
        </r>
      </text>
    </comment>
    <comment ref="AG27" authorId="0">
      <text>
        <r>
          <rPr>
            <b/>
            <sz val="8"/>
            <color indexed="8"/>
            <rFont val="Arial"/>
            <family val="1"/>
          </rPr>
          <t>1/25/05: from amino acid chelate</t>
        </r>
      </text>
    </comment>
    <comment ref="DX27" authorId="0">
      <text>
        <r>
          <rPr>
            <b/>
            <sz val="8"/>
            <color indexed="8"/>
            <rFont val="Arial"/>
            <family val="1"/>
          </rPr>
          <t>1/25/05: as magnesium oxide</t>
        </r>
      </text>
    </comment>
    <comment ref="DY27" authorId="0">
      <text>
        <r>
          <rPr>
            <b/>
            <sz val="8"/>
            <color indexed="8"/>
            <rFont val="Arial"/>
            <family val="1"/>
          </rPr>
          <t>1/2/05: reduced qty</t>
        </r>
      </text>
    </comment>
    <comment ref="GF27" authorId="0">
      <text>
        <r>
          <rPr>
            <b/>
            <sz val="8"/>
            <color indexed="8"/>
            <rFont val="Arial"/>
            <family val="1"/>
          </rPr>
          <t xml:space="preserve">1/2/05: new constituent
</t>
        </r>
      </text>
    </comment>
    <comment ref="HO27" authorId="0">
      <text>
        <r>
          <rPr>
            <b/>
            <sz val="8"/>
            <color indexed="8"/>
            <rFont val="Arial"/>
            <family val="1"/>
          </rPr>
          <t xml:space="preserve">1/2/05: Incr qty
</t>
        </r>
      </text>
    </comment>
    <comment ref="II27" authorId="0">
      <text>
        <r>
          <rPr>
            <b/>
            <sz val="8"/>
            <color indexed="8"/>
            <rFont val="Arial"/>
            <family val="1"/>
          </rPr>
          <t>1/25/05: as zinc amino acid chelate</t>
        </r>
      </text>
    </comment>
    <comment ref="A28" authorId="0">
      <text>
        <r>
          <rPr>
            <sz val="8"/>
            <rFont val="Arial"/>
            <family val="2"/>
          </rPr>
          <t>2/1/07: no reorder; reevaluate usage</t>
        </r>
      </text>
    </comment>
    <comment ref="A29" authorId="0">
      <text>
        <r>
          <rPr>
            <sz val="8"/>
            <rFont val="Arial"/>
            <family val="2"/>
          </rPr>
          <t>2/1/07: no reorder; reevaluate usage</t>
        </r>
      </text>
    </comment>
    <comment ref="AH30" authorId="0">
      <text>
        <r>
          <rPr>
            <sz val="8"/>
            <rFont val="Arial"/>
            <family val="2"/>
          </rPr>
          <t>1/15/08: [std. to 4% glucosinolates]</t>
        </r>
      </text>
    </comment>
    <comment ref="AJ30" authorId="0">
      <text>
        <r>
          <rPr>
            <sz val="8"/>
            <rFont val="Arial"/>
            <family val="2"/>
          </rPr>
          <t>1/15/08: as d-glucorate</t>
        </r>
      </text>
    </comment>
    <comment ref="CP30" authorId="0">
      <text>
        <r>
          <rPr>
            <sz val="8"/>
            <rFont val="Arial"/>
            <family val="2"/>
          </rPr>
          <t xml:space="preserve">1/15/08: </t>
        </r>
        <r>
          <rPr>
            <sz val="8"/>
            <color indexed="8"/>
            <rFont val="Arial"/>
            <family val="1"/>
          </rPr>
          <t>MW% for glucorate portion of CaGlucorate=408.122/448.200</t>
        </r>
      </text>
    </comment>
    <comment ref="EJ30" authorId="0">
      <text>
        <r>
          <rPr>
            <sz val="8"/>
            <rFont val="Arial"/>
            <family val="2"/>
          </rPr>
          <t>1/15/08: includes flax lignans also</t>
        </r>
      </text>
    </comment>
    <comment ref="AI31" authorId="0">
      <text>
        <r>
          <rPr>
            <sz val="8"/>
            <rFont val="Arial"/>
            <family val="2"/>
          </rPr>
          <t xml:space="preserve">4/7/08: from pineapple (Ananas comosus) (stem)
[2400 GDU per gram/5200 FIP per gram activity] - has the strength of 2400 GDU (gelatin digestive units) per gram/5200 FIP (International Pharmaceutical Federation) units per gram. FIP value is verified by independent analysis with European reference standard. (per online)
</t>
        </r>
      </text>
    </comment>
    <comment ref="A34" authorId="0">
      <text>
        <r>
          <rPr>
            <sz val="8"/>
            <rFont val="Arial"/>
            <family val="2"/>
          </rPr>
          <t>2/2/07: also contains blend of cranberry fruit, wild bludberry fruit and grape seed extracts totaling 375 mg</t>
        </r>
      </text>
    </comment>
    <comment ref="AO34" authorId="0">
      <text>
        <r>
          <rPr>
            <sz val="8"/>
            <rFont val="Arial"/>
            <family val="2"/>
          </rPr>
          <t>2/2/07: PepZin GI – zinc L-carnosine minus the zinc (listed separately)</t>
        </r>
      </text>
    </comment>
    <comment ref="DQ34" authorId="0">
      <text>
        <r>
          <rPr>
            <sz val="8"/>
            <rFont val="Arial"/>
            <family val="2"/>
          </rPr>
          <t>2/2/07: “certified bio-assay” deglycyrrhizinated lidorice (DGL)</t>
        </r>
      </text>
    </comment>
    <comment ref="A35" authorId="0">
      <text>
        <r>
          <rPr>
            <sz val="8"/>
            <rFont val="Arial"/>
            <family val="2"/>
          </rPr>
          <t>1/15/08: repl NOW product</t>
        </r>
      </text>
    </comment>
    <comment ref="AP35" authorId="0">
      <text>
        <r>
          <rPr>
            <sz val="8"/>
            <rFont val="Arial"/>
            <family val="2"/>
          </rPr>
          <t>1/15/08: [standardized to 8% carboxy alkyl esters (28 mg)]</t>
        </r>
      </text>
    </comment>
    <comment ref="A36" authorId="0">
      <text>
        <r>
          <rPr>
            <sz val="8"/>
            <rFont val="Arial"/>
            <family val="2"/>
          </rPr>
          <t>2/1/07: no reorder; reevaluate usage</t>
        </r>
      </text>
    </comment>
    <comment ref="E36" authorId="0">
      <text>
        <r>
          <rPr>
            <sz val="10"/>
            <rFont val="Arial"/>
            <family val="2"/>
          </rPr>
          <t>11/17/06: reduced from 2 daily</t>
        </r>
      </text>
    </comment>
    <comment ref="E37" authorId="0">
      <text>
        <r>
          <rPr>
            <b/>
            <sz val="8"/>
            <color indexed="8"/>
            <rFont val="Arial"/>
            <family val="1"/>
          </rPr>
          <t xml:space="preserve">1/30/06: 1 pre-brkfst &amp; 1 bedtime
2/07: 1NF morning &amp; 1 HS
</t>
        </r>
      </text>
    </comment>
    <comment ref="AJ37" authorId="0">
      <text>
        <r>
          <rPr>
            <sz val="10"/>
            <rFont val="Arial"/>
            <family val="2"/>
          </rPr>
          <t>8/10/06: from clacium magnesium phytate</t>
        </r>
      </text>
    </comment>
    <comment ref="DX37" authorId="0">
      <text>
        <r>
          <rPr>
            <sz val="10"/>
            <rFont val="Arial"/>
            <family val="2"/>
          </rPr>
          <t>8/10/06: from clacium magnesium phytate</t>
        </r>
      </text>
    </comment>
    <comment ref="EY37" authorId="0">
      <text>
        <r>
          <rPr>
            <sz val="10"/>
            <rFont val="Arial"/>
            <family val="2"/>
          </rPr>
          <t>8/10/06: from clacium magnesium phytate</t>
        </r>
      </text>
    </comment>
    <comment ref="E40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grams;
1/10/06: amt on table corrected</t>
        </r>
      </text>
    </comment>
    <comment ref="E41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grams;
1/10/06: amt on table corrected</t>
        </r>
      </text>
    </comment>
    <comment ref="E42" authorId="0">
      <text>
        <r>
          <rPr>
            <sz val="8"/>
            <color indexed="8"/>
            <rFont val="Arial"/>
            <family val="2"/>
          </rPr>
          <t>6/8/07: reduced from 3; reduce of total pill qty</t>
        </r>
      </text>
    </comment>
    <comment ref="A44" authorId="0">
      <text>
        <r>
          <rPr>
            <sz val="8"/>
            <rFont val="Arial"/>
            <family val="2"/>
          </rPr>
          <t>7/6/06: updated; includes prop blend of querciten, coffeeberry, green tea &amp; corosolic acid
3/5/07: old #887; new prod #; veggie capsules, ^cinnamon from 125</t>
        </r>
      </text>
    </comment>
    <comment ref="E44" authorId="0">
      <text>
        <r>
          <rPr>
            <b/>
            <sz val="8"/>
            <color indexed="8"/>
            <rFont val="Arial"/>
            <family val="1"/>
          </rPr>
          <t>1/11/06 new; premeal
2/2/07: decr to pf only</t>
        </r>
      </text>
    </comment>
    <comment ref="AV44" authorId="0">
      <text>
        <r>
          <rPr>
            <sz val="10"/>
            <rFont val="Arial"/>
            <family val="2"/>
          </rPr>
          <t>7/6/06: from chromium 454</t>
        </r>
      </text>
    </comment>
    <comment ref="A45" authorId="0">
      <text>
        <r>
          <rPr>
            <sz val="8"/>
            <color indexed="8"/>
            <rFont val="Arial"/>
            <family val="2"/>
          </rPr>
          <t>7/6/06: updated; includes prop blend of querciten, coffeeberry, green tea &amp; corosolic acid
3/5/07: old #887; new prod #; veggie capsules, ^cinnamon from 125</t>
        </r>
      </text>
    </comment>
    <comment ref="E45" authorId="0">
      <text>
        <r>
          <rPr>
            <b/>
            <sz val="8"/>
            <color indexed="8"/>
            <rFont val="Arial"/>
            <family val="1"/>
          </rPr>
          <t>1/11/06 new; premeal
2/2/07: decr to pf only</t>
        </r>
      </text>
    </comment>
    <comment ref="AV45" authorId="0">
      <text>
        <r>
          <rPr>
            <sz val="10"/>
            <rFont val="Arial"/>
            <family val="2"/>
          </rPr>
          <t>7/6/06: from chromium 454</t>
        </r>
      </text>
    </comment>
    <comment ref="A46" authorId="0">
      <text>
        <r>
          <rPr>
            <b/>
            <sz val="8"/>
            <color indexed="8"/>
            <rFont val="Arial"/>
            <family val="1"/>
          </rPr>
          <t>1/1/05: using label info and/or online</t>
        </r>
      </text>
    </comment>
    <comment ref="E46" authorId="0">
      <text>
        <r>
          <rPr>
            <sz val="8"/>
            <rFont val="Arial"/>
            <family val="2"/>
          </rPr>
          <t>6/8/07 restarted for Paul</t>
        </r>
      </text>
    </comment>
    <comment ref="A47" authorId="0">
      <text>
        <r>
          <rPr>
            <b/>
            <sz val="8"/>
            <color indexed="8"/>
            <rFont val="Arial"/>
            <family val="1"/>
          </rPr>
          <t>1/1/05: using label info and/or online</t>
        </r>
      </text>
    </comment>
    <comment ref="A48" authorId="0">
      <text>
        <r>
          <rPr>
            <b/>
            <sz val="8"/>
            <color indexed="8"/>
            <rFont val="Arial"/>
            <family val="1"/>
          </rPr>
          <t>10/12/05:  also proprietary blend of rosemary, isooxygene hops and ginger
7/6/06: updated</t>
        </r>
      </text>
    </comment>
    <comment ref="C48" authorId="0">
      <text>
        <r>
          <rPr>
            <sz val="8"/>
            <rFont val="Arial"/>
            <family val="2"/>
          </rPr>
          <t>2/2/07: new prod# (was 821)</t>
        </r>
      </text>
    </comment>
    <comment ref="E48" authorId="0">
      <text>
        <r>
          <rPr>
            <sz val="8"/>
            <rFont val="Arial"/>
            <family val="2"/>
          </rPr>
          <t>2/2/07: decr from 4</t>
        </r>
      </text>
    </comment>
    <comment ref="P48" authorId="0">
      <text>
        <r>
          <rPr>
            <sz val="8"/>
            <rFont val="Arial"/>
            <family val="2"/>
          </rPr>
          <t>2/2/07: from wild blueberry extract per online info</t>
        </r>
      </text>
    </comment>
    <comment ref="T48" authorId="0">
      <text>
        <r>
          <rPr>
            <b/>
            <sz val="8"/>
            <color indexed="8"/>
            <rFont val="Arial"/>
            <family val="1"/>
          </rPr>
          <t xml:space="preserve">10/12/05: standardized to 8% w/ anolide glyocside conjugates &amp; 32% oliosacharides
2/2/07: same
</t>
        </r>
      </text>
    </comment>
    <comment ref="CK48" authorId="0">
      <text>
        <r>
          <rPr>
            <sz val="8"/>
            <rFont val="Arial"/>
            <family val="2"/>
          </rPr>
          <t>2/2/07: same as prod #821; part of proprietary blend of hops extract ginger &amp; rosemary extracts</t>
        </r>
      </text>
    </comment>
    <comment ref="CV48" authorId="0">
      <text>
        <r>
          <rPr>
            <sz val="8"/>
            <rFont val="Arial"/>
            <family val="2"/>
          </rPr>
          <t>2/2/07: same as Prod#821</t>
        </r>
      </text>
    </comment>
    <comment ref="EU48" authorId="0">
      <text>
        <r>
          <rPr>
            <sz val="8"/>
            <rFont val="Arial"/>
            <family val="2"/>
          </rPr>
          <t>2/2/07: from soy; part of combination w/ grape seed extract</t>
        </r>
      </text>
    </comment>
    <comment ref="EX48" authorId="0">
      <text>
        <r>
          <rPr>
            <sz val="8"/>
            <rFont val="Arial"/>
            <family val="2"/>
          </rPr>
          <t>2/2/07: same as Prod#821</t>
        </r>
      </text>
    </comment>
    <comment ref="FC48" authorId="0">
      <text>
        <r>
          <rPr>
            <b/>
            <sz val="8"/>
            <color indexed="8"/>
            <rFont val="Arial"/>
            <family val="1"/>
          </rPr>
          <t xml:space="preserve">1/10/05: 50 mg of Leucoselect® Phytosome™  
grape seed extract (95% polyphenols) 
</t>
        </r>
      </text>
    </comment>
    <comment ref="FS48" authorId="0">
      <text>
        <r>
          <rPr>
            <sz val="8"/>
            <rFont val="Arial"/>
            <family val="2"/>
          </rPr>
          <t>2/2/07: same as prod #821; part of proprietary blend of hops extract ginger &amp; rosemary extracts</t>
        </r>
      </text>
    </comment>
    <comment ref="GW48" authorId="0">
      <text>
        <r>
          <rPr>
            <sz val="8"/>
            <rFont val="Arial"/>
            <family val="2"/>
          </rPr>
          <t>2/2/07: same as prod #821</t>
        </r>
      </text>
    </comment>
    <comment ref="A49" authorId="0">
      <text>
        <r>
          <rPr>
            <b/>
            <sz val="8"/>
            <color indexed="8"/>
            <rFont val="Arial"/>
            <family val="1"/>
          </rPr>
          <t>10/12/05:  also proprietary blend of rosemary, isooxygene hops and ginger
7/6/06: updated</t>
        </r>
      </text>
    </comment>
    <comment ref="C49" authorId="0">
      <text>
        <r>
          <rPr>
            <sz val="8"/>
            <rFont val="Arial"/>
            <family val="2"/>
          </rPr>
          <t>2/2/07: new prod# (was 821)</t>
        </r>
      </text>
    </comment>
    <comment ref="P49" authorId="0">
      <text>
        <r>
          <rPr>
            <sz val="8"/>
            <rFont val="Arial"/>
            <family val="2"/>
          </rPr>
          <t>2/2/07: from wild blueberry extract per online info</t>
        </r>
      </text>
    </comment>
    <comment ref="T49" authorId="0">
      <text>
        <r>
          <rPr>
            <b/>
            <sz val="8"/>
            <color indexed="8"/>
            <rFont val="Arial"/>
            <family val="1"/>
          </rPr>
          <t xml:space="preserve">10/12/05: standardized to 8% w/ anolide glyocside conjugates &amp; 32% oliosacharides
2/2/07: same
</t>
        </r>
      </text>
    </comment>
    <comment ref="CK49" authorId="0">
      <text>
        <r>
          <rPr>
            <sz val="8"/>
            <rFont val="Arial"/>
            <family val="2"/>
          </rPr>
          <t>2/2/07: same as prod #821; part of proprietary blend of hops extract ginger &amp; rosemary extracts</t>
        </r>
      </text>
    </comment>
    <comment ref="CV49" authorId="0">
      <text>
        <r>
          <rPr>
            <sz val="8"/>
            <rFont val="Arial"/>
            <family val="2"/>
          </rPr>
          <t>2/2/07: same as Prod#821</t>
        </r>
      </text>
    </comment>
    <comment ref="EU49" authorId="0">
      <text>
        <r>
          <rPr>
            <sz val="8"/>
            <rFont val="Arial"/>
            <family val="2"/>
          </rPr>
          <t>2/2/07: from soy; part of combination w/ grape seed extract</t>
        </r>
      </text>
    </comment>
    <comment ref="EX49" authorId="0">
      <text>
        <r>
          <rPr>
            <sz val="8"/>
            <rFont val="Arial"/>
            <family val="2"/>
          </rPr>
          <t>2/2/07: same as Prod#821</t>
        </r>
      </text>
    </comment>
    <comment ref="FC49" authorId="0">
      <text>
        <r>
          <rPr>
            <b/>
            <sz val="8"/>
            <color indexed="8"/>
            <rFont val="Arial"/>
            <family val="1"/>
          </rPr>
          <t xml:space="preserve">1/10/05: 50 mg of Leucoselect® Phytosome™  
grape seed extract (95% polyphenols) 
</t>
        </r>
      </text>
    </comment>
    <comment ref="FS49" authorId="0">
      <text>
        <r>
          <rPr>
            <sz val="8"/>
            <rFont val="Arial"/>
            <family val="2"/>
          </rPr>
          <t>2/2/07: same as prod #821; part of proprietary blend of hops extract ginger &amp; rosemary extracts</t>
        </r>
      </text>
    </comment>
    <comment ref="GW49" authorId="0">
      <text>
        <r>
          <rPr>
            <sz val="8"/>
            <rFont val="Arial"/>
            <family val="2"/>
          </rPr>
          <t>2/2/07: same as prod #821</t>
        </r>
      </text>
    </comment>
    <comment ref="E50" authorId="0">
      <text>
        <r>
          <rPr>
            <sz val="8"/>
            <rFont val="Arial"/>
            <family val="2"/>
          </rPr>
          <t>11/17/06: delete for Paul  temporarily from 1 BID</t>
        </r>
      </text>
    </comment>
    <comment ref="E51" authorId="0">
      <text>
        <r>
          <rPr>
            <b/>
            <sz val="8"/>
            <color indexed="8"/>
            <rFont val="Arial"/>
            <family val="1"/>
          </rPr>
          <t>1/26/06: K: 1 E and 2 HS (</t>
        </r>
        <r>
          <rPr>
            <sz val="8"/>
            <color indexed="8"/>
            <rFont val="Arial"/>
            <family val="1"/>
          </rPr>
          <t xml:space="preserve">bedtime)
2/2/07: 1nf, 1wf, 2HS (1 meal daily routine)
</t>
        </r>
      </text>
    </comment>
    <comment ref="A54" authorId="0">
      <text>
        <r>
          <rPr>
            <b/>
            <sz val="8"/>
            <color indexed="8"/>
            <rFont val="Arial"/>
            <family val="1"/>
          </rPr>
          <t xml:space="preserve">1/2/05: added to list
1/24/07: new prod#
11/07 replaces #912
</t>
        </r>
      </text>
    </comment>
    <comment ref="BE54" authorId="0">
      <text>
        <r>
          <rPr>
            <b/>
            <sz val="8"/>
            <color indexed="8"/>
            <rFont val="Arial"/>
            <family val="1"/>
          </rPr>
          <t xml:space="preserve">1/2/05: root powder extract (95% curcumin)
1/24/07: reduced content; containing 95% (760 mg) curcuminoids (curcumin, demethoxcurcumin &amp; bis-demethoxycurcumin]
11/07: NEW PROD -
(Curcuma longa) 25:1 extract (root) [std. to 95% Total Curcuminoids Complex by HPLC (380 mg)]
</t>
        </r>
      </text>
    </comment>
    <comment ref="A55" authorId="0">
      <text>
        <r>
          <rPr>
            <sz val="8"/>
            <rFont val="Arial"/>
            <family val="2"/>
          </rPr>
          <t xml:space="preserve">10/29/06: added for Paul
3/20/07: elim &amp; chng to 25 following lab work results
</t>
        </r>
      </text>
    </comment>
    <comment ref="A56" authorId="0">
      <text>
        <r>
          <rPr>
            <sz val="8"/>
            <rFont val="Arial"/>
            <family val="2"/>
          </rPr>
          <t>3/20/07 replacing 50mg following lab work results
5/25/07: hold following bld work results</t>
        </r>
      </text>
    </comment>
    <comment ref="E56" authorId="0">
      <text>
        <r>
          <rPr>
            <sz val="8"/>
            <rFont val="Arial"/>
            <family val="2"/>
          </rPr>
          <t>2/28/08: restarted – ck w/ bld test in April
6/08: not restarted</t>
        </r>
      </text>
    </comment>
    <comment ref="A57" authorId="0">
      <text>
        <r>
          <rPr>
            <sz val="8"/>
            <rFont val="Arial"/>
            <family val="2"/>
          </rPr>
          <t>3/20/07 elim (?temp) following lab work results</t>
        </r>
      </text>
    </comment>
    <comment ref="AQ58" authorId="0">
      <text>
        <r>
          <rPr>
            <b/>
            <sz val="8"/>
            <color indexed="8"/>
            <rFont val="Arial"/>
            <family val="1"/>
          </rPr>
          <t xml:space="preserve">10/12/05: 32%
</t>
        </r>
      </text>
    </comment>
    <comment ref="BE58" authorId="0">
      <text>
        <r>
          <rPr>
            <b/>
            <sz val="8"/>
            <color indexed="8"/>
            <rFont val="Arial"/>
            <family val="1"/>
          </rPr>
          <t>10/12/05: root powder extract (95% curcumin)</t>
        </r>
      </text>
    </comment>
    <comment ref="BX58" authorId="0">
      <text>
        <r>
          <rPr>
            <b/>
            <sz val="8"/>
            <color indexed="8"/>
            <rFont val="Arial"/>
            <family val="1"/>
          </rPr>
          <t xml:space="preserve">10/12/05: 58%
</t>
        </r>
      </text>
    </comment>
    <comment ref="E60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grams</t>
        </r>
      </text>
    </comment>
    <comment ref="E61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grams</t>
        </r>
      </text>
    </comment>
    <comment ref="E62" authorId="0">
      <text>
        <r>
          <rPr>
            <sz val="8"/>
            <rFont val="Arial"/>
            <family val="2"/>
          </rPr>
          <t>4/10/08: incr from 2.5g nominal</t>
        </r>
      </text>
    </comment>
    <comment ref="E63" authorId="0">
      <text>
        <r>
          <rPr>
            <sz val="8"/>
            <rFont val="Arial"/>
            <family val="2"/>
          </rPr>
          <t>4/10/08: incr from 2.5g nominal</t>
        </r>
      </text>
    </comment>
    <comment ref="E64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grams</t>
        </r>
      </text>
    </comment>
    <comment ref="E65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>grams</t>
        </r>
      </text>
    </comment>
    <comment ref="A66" authorId="0">
      <text>
        <r>
          <rPr>
            <b/>
            <sz val="8"/>
            <color indexed="8"/>
            <rFont val="Arial"/>
            <family val="1"/>
          </rPr>
          <t xml:space="preserve">10/12/05: new
</t>
        </r>
      </text>
    </comment>
    <comment ref="E66" authorId="0">
      <text>
        <r>
          <rPr>
            <sz val="8"/>
            <rFont val="Arial"/>
            <family val="2"/>
          </rPr>
          <t>2/3/07: drcr from 4
6/8/07: reduced from 2; reduce of total pill qty</t>
        </r>
      </text>
    </comment>
    <comment ref="AH66" authorId="0">
      <text>
        <r>
          <rPr>
            <b/>
            <sz val="8"/>
            <color indexed="8"/>
            <rFont val="Arial"/>
            <family val="1"/>
          </rPr>
          <t xml:space="preserve">10/12/05: 2% glucosinolates; 0.2% sulforaphanes
</t>
        </r>
      </text>
    </comment>
    <comment ref="BA66" authorId="0">
      <text>
        <r>
          <rPr>
            <b/>
            <sz val="8"/>
            <color indexed="8"/>
            <rFont val="Arial"/>
            <family val="1"/>
          </rPr>
          <t xml:space="preserve">10/12/05: same chlorphyllin /w copper as product #601 1mg per caps w/ 100mg chlorophyllin
</t>
        </r>
      </text>
    </comment>
    <comment ref="CP66" authorId="0">
      <text>
        <r>
          <rPr>
            <b/>
            <sz val="8"/>
            <color indexed="8"/>
            <rFont val="Arial"/>
            <family val="1"/>
          </rPr>
          <t>10/12/05: includes broccoli source using % breakdown info from LEF Mix</t>
        </r>
      </text>
    </comment>
    <comment ref="IB66" authorId="0">
      <text>
        <r>
          <rPr>
            <b/>
            <sz val="8"/>
            <color indexed="8"/>
            <rFont val="Arial"/>
            <family val="1"/>
          </rPr>
          <t xml:space="preserve">10/12/05: 1500ppm isothiocyanate
</t>
        </r>
      </text>
    </comment>
    <comment ref="A67" authorId="0">
      <text>
        <r>
          <rPr>
            <b/>
            <sz val="8"/>
            <color indexed="8"/>
            <rFont val="Arial"/>
            <family val="1"/>
          </rPr>
          <t xml:space="preserve">1/11/06: replacing I3C
1/25/07: from old #855 to new prod# - cat's claw added
</t>
        </r>
      </text>
    </comment>
    <comment ref="AH67" authorId="0">
      <text>
        <r>
          <rPr>
            <b/>
            <sz val="8"/>
            <color indexed="8"/>
            <rFont val="Arial"/>
            <family val="1"/>
          </rPr>
          <t xml:space="preserve">1/11/06: (Brassica oleracea l.) Super Concentrate  400 mg  
Extract (plant and sprouts [standardized to 4% glucosinolates [16mg)]
2/3/07: same </t>
        </r>
      </text>
    </comment>
    <comment ref="AP67" authorId="0">
      <text>
        <r>
          <rPr>
            <sz val="8"/>
            <rFont val="Arial"/>
            <family val="2"/>
          </rPr>
          <t>1/25/07: New; std to 8% carboxy alkyl esters (2mg)</t>
        </r>
      </text>
    </comment>
    <comment ref="BP67" authorId="0">
      <text>
        <r>
          <rPr>
            <sz val="8"/>
            <rFont val="Arial"/>
            <family val="2"/>
          </rPr>
          <t>2/3/07: same as old  #855</t>
        </r>
      </text>
    </comment>
    <comment ref="DE67" authorId="0">
      <text>
        <r>
          <rPr>
            <sz val="8"/>
            <rFont val="Arial"/>
            <family val="2"/>
          </rPr>
          <t>2/3/07: same as old #855</t>
        </r>
      </text>
    </comment>
    <comment ref="FN67" authorId="0">
      <text>
        <r>
          <rPr>
            <b/>
            <sz val="8"/>
            <color indexed="8"/>
            <rFont val="Arial"/>
            <family val="1"/>
          </rPr>
          <t xml:space="preserve">1/11/06: [from Red Grape (Vitis vinifera) Extract (whole fruit) and Polygonum cuspidatum Extract (root)]
2/3/07: same as old #855
</t>
        </r>
      </text>
    </comment>
    <comment ref="FS67" authorId="0">
      <text>
        <r>
          <rPr>
            <b/>
            <sz val="8"/>
            <color indexed="8"/>
            <rFont val="Arial"/>
            <family val="1"/>
          </rPr>
          <t xml:space="preserve">1/11/06: [standardized to 20% diterpenic compounds (10 mg) and providing carnosic acid/carnosol]
2/3/07: same as old #855
</t>
        </r>
      </text>
    </comment>
    <comment ref="IC67" authorId="0">
      <text>
        <r>
          <rPr>
            <b/>
            <sz val="8"/>
            <color indexed="8"/>
            <rFont val="Arial"/>
            <family val="1"/>
          </rPr>
          <t xml:space="preserve">1/11/06: (Nasturtium officinale) 4:1 Extract (leaf)
2/3/07: same as old #855
</t>
        </r>
      </text>
    </comment>
    <comment ref="E68" authorId="0">
      <text>
        <r>
          <rPr>
            <sz val="8"/>
            <rFont val="Arial"/>
            <family val="2"/>
          </rPr>
          <t>11/17/06: reduced from 1BID
4/7/08: chngd from prn</t>
        </r>
      </text>
    </comment>
    <comment ref="A69" authorId="0">
      <text>
        <r>
          <rPr>
            <sz val="8"/>
            <rFont val="Arial"/>
            <family val="2"/>
          </rPr>
          <t>7/07: added; replacing pomegranate extract &amp; some SOD-Zyme</t>
        </r>
      </text>
    </comment>
    <comment ref="C69" authorId="0">
      <text>
        <r>
          <rPr>
            <sz val="8"/>
            <rFont val="Arial"/>
            <family val="2"/>
          </rPr>
          <t>1/14/08: replacing #997</t>
        </r>
      </text>
    </comment>
    <comment ref="E69" authorId="0">
      <text>
        <r>
          <rPr>
            <sz val="8"/>
            <rFont val="Arial"/>
            <family val="2"/>
          </rPr>
          <t xml:space="preserve">8/29/07: reduced due to shortage; was to start </t>
        </r>
        <r>
          <rPr>
            <b/>
            <sz val="8"/>
            <rFont val="Arial"/>
            <family val="2"/>
          </rPr>
          <t>after</t>
        </r>
        <r>
          <rPr>
            <sz val="8"/>
            <rFont val="Arial"/>
            <family val="2"/>
          </rPr>
          <t xml:space="preserve"> pomegranate extr finished.
11/1/07: amt corrected w/ new order</t>
        </r>
      </text>
    </comment>
    <comment ref="AY69" authorId="0">
      <text>
        <r>
          <rPr>
            <sz val="8"/>
            <rFont val="Arial"/>
            <family val="2"/>
          </rPr>
          <t>1/15/08: new ingred [std. to 45% polyphenols (50 mg)] listed sep</t>
        </r>
      </text>
    </comment>
    <comment ref="CQ69" authorId="0">
      <text>
        <r>
          <rPr>
            <sz val="8"/>
            <rFont val="Arial"/>
            <family val="2"/>
          </rPr>
          <t xml:space="preserve">1/15/08: same </t>
        </r>
      </text>
    </comment>
    <comment ref="FC69" authorId="0">
      <text>
        <r>
          <rPr>
            <sz val="8"/>
            <rFont val="Arial"/>
            <family val="2"/>
          </rPr>
          <t>1/15/08: cocoa gold [std. to 45% polyphenols (50 mg)]</t>
        </r>
      </text>
    </comment>
    <comment ref="FD69" authorId="0">
      <text>
        <r>
          <rPr>
            <sz val="8"/>
            <rFont val="Arial"/>
            <family val="2"/>
          </rPr>
          <t>9/8/07: 400 mg extract std. to 30% Punicalagins (120 mg); 100 mg 5:1 Extract
1/15/08: same</t>
        </r>
      </text>
    </comment>
    <comment ref="A70" authorId="0">
      <text>
        <r>
          <rPr>
            <sz val="8"/>
            <rFont val="Arial"/>
            <family val="2"/>
          </rPr>
          <t>7/07: added; replacing pomegranate extract &amp; some SOD-Zyme</t>
        </r>
      </text>
    </comment>
    <comment ref="C70" authorId="0">
      <text>
        <r>
          <rPr>
            <sz val="8"/>
            <rFont val="Arial"/>
            <family val="2"/>
          </rPr>
          <t>1/14/08: replacing #997</t>
        </r>
      </text>
    </comment>
    <comment ref="E70" authorId="0">
      <text>
        <r>
          <rPr>
            <sz val="8"/>
            <rFont val="Arial"/>
            <family val="2"/>
          </rPr>
          <t xml:space="preserve">8/29/07: reduced due to shortage; was to start </t>
        </r>
        <r>
          <rPr>
            <b/>
            <sz val="8"/>
            <rFont val="Arial"/>
            <family val="2"/>
          </rPr>
          <t>after</t>
        </r>
        <r>
          <rPr>
            <sz val="8"/>
            <rFont val="Arial"/>
            <family val="2"/>
          </rPr>
          <t xml:space="preserve"> pomegranate extr finished.
</t>
        </r>
        <r>
          <rPr>
            <sz val="8"/>
            <color indexed="8"/>
            <rFont val="Arial"/>
            <family val="2"/>
          </rPr>
          <t>11/1/07: amt corrected w/ new order</t>
        </r>
      </text>
    </comment>
    <comment ref="AY70" authorId="0">
      <text>
        <r>
          <rPr>
            <sz val="8"/>
            <rFont val="Arial"/>
            <family val="2"/>
          </rPr>
          <t>1/15/08: new ingred [std. to 45% polyphenols (50 mg)] listed sep</t>
        </r>
      </text>
    </comment>
    <comment ref="CQ70" authorId="0">
      <text>
        <r>
          <rPr>
            <sz val="8"/>
            <rFont val="Arial"/>
            <family val="2"/>
          </rPr>
          <t>1/15/08: same</t>
        </r>
      </text>
    </comment>
    <comment ref="FC70" authorId="0">
      <text>
        <r>
          <rPr>
            <sz val="8"/>
            <rFont val="Arial"/>
            <family val="2"/>
          </rPr>
          <t>1/15/08: cocoa gold [std. to 45% polyphenols (50 mg)]</t>
        </r>
      </text>
    </comment>
    <comment ref="FD70" authorId="0">
      <text>
        <r>
          <rPr>
            <sz val="8"/>
            <rFont val="Arial"/>
            <family val="2"/>
          </rPr>
          <t>9/8/07: 400 mg extract std. to 30% Punicalagins (120 mg); 100 mg 5:1 Extract
1/15/08: same</t>
        </r>
      </text>
    </comment>
    <comment ref="A71" authorId="0">
      <text>
        <r>
          <rPr>
            <b/>
            <sz val="8"/>
            <color indexed="8"/>
            <rFont val="Arial"/>
            <family val="1"/>
          </rPr>
          <t>4/26/04: Using %s of breakdown from Citrus Bioflavanoid 2001
1/25/07: Paul only; prn for Kitty</t>
        </r>
      </text>
    </comment>
    <comment ref="E71" authorId="0">
      <text>
        <r>
          <rPr>
            <sz val="8"/>
            <rFont val="Arial"/>
            <family val="2"/>
          </rPr>
          <t>10/8/07: stop w/ next pill making to see if decreases HgbA1C
11/30/07: forgot to hold</t>
        </r>
      </text>
    </comment>
    <comment ref="AD71" authorId="0">
      <text>
        <r>
          <rPr>
            <b/>
            <sz val="8"/>
            <color indexed="8"/>
            <rFont val="Arial"/>
            <family val="1"/>
          </rPr>
          <t xml:space="preserve">1/12/06: same Citrus Bioflavanoid Complex as product 069
</t>
        </r>
      </text>
    </comment>
    <comment ref="AJ71" authorId="0">
      <text>
        <r>
          <rPr>
            <sz val="8"/>
            <color indexed="8"/>
            <rFont val="Arial"/>
            <family val="1"/>
          </rPr>
          <t>4/26/04:  from calcium ascorbate</t>
        </r>
      </text>
    </comment>
    <comment ref="HM71" authorId="0">
      <text>
        <r>
          <rPr>
            <b/>
            <sz val="8"/>
            <color indexed="8"/>
            <rFont val="Arial"/>
            <family val="1"/>
          </rPr>
          <t>4/26/04: from calcium ascorbate</t>
        </r>
      </text>
    </comment>
    <comment ref="E72" authorId="0">
      <text>
        <r>
          <rPr>
            <sz val="8"/>
            <rFont val="Arial"/>
            <family val="2"/>
          </rPr>
          <t xml:space="preserve">10/8/07: stop w/ next pill making to see if decreases HgbA1C
</t>
        </r>
        <r>
          <rPr>
            <sz val="8"/>
            <color indexed="8"/>
            <rFont val="Arial"/>
            <family val="2"/>
          </rPr>
          <t>11/30/07: forgot to hold</t>
        </r>
      </text>
    </comment>
    <comment ref="AD72" authorId="0">
      <text>
        <r>
          <rPr>
            <b/>
            <sz val="8"/>
            <color indexed="8"/>
            <rFont val="Arial"/>
            <family val="1"/>
          </rPr>
          <t xml:space="preserve">1/12/06: same Citrus Bioflavanoid Complex as product 069
</t>
        </r>
      </text>
    </comment>
    <comment ref="AJ72" authorId="0">
      <text>
        <r>
          <rPr>
            <sz val="8"/>
            <color indexed="8"/>
            <rFont val="Arial"/>
            <family val="1"/>
          </rPr>
          <t>4/26/04:  from calcium ascorbate</t>
        </r>
      </text>
    </comment>
    <comment ref="HM72" authorId="0">
      <text>
        <r>
          <rPr>
            <b/>
            <sz val="8"/>
            <color indexed="8"/>
            <rFont val="Arial"/>
            <family val="1"/>
          </rPr>
          <t>4/26/04: from calcium ascorbate</t>
        </r>
      </text>
    </comment>
    <comment ref="A73" authorId="0">
      <text>
        <r>
          <rPr>
            <sz val="8"/>
            <rFont val="Arial"/>
            <family val="2"/>
          </rPr>
          <t>Added 7/6/06</t>
        </r>
      </text>
    </comment>
    <comment ref="E74" authorId="0">
      <text>
        <r>
          <rPr>
            <b/>
            <sz val="8"/>
            <color indexed="8"/>
            <rFont val="Arial"/>
            <family val="1"/>
          </rPr>
          <t xml:space="preserve">1/11/06: only 1 bottle per 30 day mix
</t>
        </r>
      </text>
    </comment>
    <comment ref="CB74" authorId="0">
      <text>
        <r>
          <rPr>
            <b/>
            <sz val="8"/>
            <color indexed="8"/>
            <rFont val="Arial"/>
            <family val="1"/>
          </rPr>
          <t>1/05: heavily diluted by LEF to 0.13% (800mcg per ~1/4t). 3 full bottles required per 30 day mix for meal cocktail;
1/11/06: 1 bottle used to dilute pure Folic acid</t>
        </r>
      </text>
    </comment>
    <comment ref="E75" authorId="0">
      <text>
        <r>
          <rPr>
            <b/>
            <sz val="8"/>
            <color indexed="8"/>
            <rFont val="Arial"/>
            <family val="1"/>
          </rPr>
          <t>1/11/06: only 1 bottle per 30 day mix
10/25/07: homocysteine is now reduced, there is a sufficient amount from other sources and some studies have shown and expressed concern about megadose amounts</t>
        </r>
      </text>
    </comment>
    <comment ref="CB75" authorId="0">
      <text>
        <r>
          <rPr>
            <b/>
            <sz val="8"/>
            <color indexed="8"/>
            <rFont val="Arial"/>
            <family val="1"/>
          </rPr>
          <t>1/05: heavily diluted by LEF to 0.13% (800mcg per ~1/4t). 3 full bottles required per 30 day mix for meal cocktail;
1/11/06: 1 bottle used to dilute pure Folic acid</t>
        </r>
      </text>
    </comment>
    <comment ref="E76" authorId="0">
      <text>
        <r>
          <rPr>
            <sz val="8"/>
            <color indexed="8"/>
            <rFont val="Arial"/>
            <family val="1"/>
          </rPr>
          <t>7/5/05:  2 at HS + 1E
1/17/06: Reduce from 4 daily
4/06: stopped HS
7/8/06: will resume HS w/ ornithine start
9/22/07: incr from 3; nf,pf 2hs (bowel irritation resolved)</t>
        </r>
      </text>
    </comment>
    <comment ref="CC76" authorId="0">
      <text>
        <r>
          <rPr>
            <sz val="8"/>
            <rFont val="Arial"/>
            <family val="2"/>
          </rPr>
          <t>4/12/07: from Coleus forskohli (root) extract – 100mg powder/cap</t>
        </r>
      </text>
    </comment>
    <comment ref="A77" authorId="0">
      <text>
        <r>
          <rPr>
            <sz val="8"/>
            <rFont val="Arial"/>
            <family val="2"/>
          </rPr>
          <t>2/1/07: no reorder; reevaluate usage</t>
        </r>
      </text>
    </comment>
    <comment ref="E77" authorId="0">
      <text>
        <r>
          <rPr>
            <sz val="8"/>
            <rFont val="Arial"/>
            <family val="2"/>
          </rPr>
          <t>11/17/06: reduced from 4 daily
2/3/07: no reorder; re-evaluate usage</t>
        </r>
      </text>
    </comment>
    <comment ref="A81" authorId="0">
      <text>
        <r>
          <rPr>
            <b/>
            <sz val="8"/>
            <color indexed="8"/>
            <rFont val="Arial"/>
            <family val="1"/>
          </rPr>
          <t xml:space="preserve">1/1/05: new pkg size only
</t>
        </r>
      </text>
    </comment>
    <comment ref="E81" authorId="0">
      <text>
        <r>
          <rPr>
            <sz val="8"/>
            <rFont val="Arial"/>
            <family val="2"/>
          </rPr>
          <t>6/8/07: reduced from 2; reduce of total pill qty</t>
        </r>
      </text>
    </comment>
    <comment ref="E82" authorId="0">
      <text>
        <r>
          <rPr>
            <b/>
            <sz val="8"/>
            <color indexed="8"/>
            <rFont val="Arial"/>
            <family val="1"/>
          </rPr>
          <t>2/1/07: decr from x2 daily</t>
        </r>
      </text>
    </comment>
    <comment ref="E83" authorId="0">
      <text>
        <r>
          <rPr>
            <b/>
            <sz val="8"/>
            <color indexed="8"/>
            <rFont val="Arial"/>
            <family val="1"/>
          </rPr>
          <t>2/1/07: decr from x2 daily</t>
        </r>
      </text>
    </comment>
    <comment ref="A85" authorId="0">
      <text>
        <r>
          <rPr>
            <sz val="8"/>
            <rFont val="Arial"/>
            <family val="2"/>
          </rPr>
          <t>1/8/08: restart for Paul;
2/1/07: no reorder; reevaluate usage;
1/8//08: restarted Paul only</t>
        </r>
      </text>
    </comment>
    <comment ref="E85" authorId="0">
      <text>
        <r>
          <rPr>
            <sz val="8"/>
            <rFont val="Arial"/>
            <family val="2"/>
          </rPr>
          <t>11/17/06: reduced from 2 daily
2/3/07: no reorder; reevaluate usage</t>
        </r>
      </text>
    </comment>
    <comment ref="A86" authorId="0">
      <text>
        <r>
          <rPr>
            <sz val="8"/>
            <rFont val="Arial"/>
            <family val="2"/>
          </rPr>
          <t>6/08: replacing prod#816</t>
        </r>
      </text>
    </comment>
    <comment ref="AJ86" authorId="0">
      <text>
        <r>
          <rPr>
            <b/>
            <sz val="8"/>
            <color indexed="8"/>
            <rFont val="Arial"/>
            <family val="1"/>
          </rPr>
          <t>6/08:  from calcium ascorbate</t>
        </r>
      </text>
    </comment>
    <comment ref="FH86" authorId="0">
      <text>
        <r>
          <rPr>
            <sz val="8"/>
            <rFont val="Arial"/>
            <family val="2"/>
          </rPr>
          <t>6/08: proprietary blend; details online</t>
        </r>
      </text>
    </comment>
    <comment ref="HM86" authorId="0">
      <text>
        <r>
          <rPr>
            <b/>
            <sz val="8"/>
            <color indexed="8"/>
            <rFont val="Arial"/>
            <family val="1"/>
          </rPr>
          <t>4/26/04: from calcium ascorbate</t>
        </r>
      </text>
    </comment>
    <comment ref="A87" authorId="0">
      <text>
        <r>
          <rPr>
            <sz val="8"/>
            <rFont val="Arial"/>
            <family val="2"/>
          </rPr>
          <t>6/08: replacing prod#816</t>
        </r>
      </text>
    </comment>
    <comment ref="AJ87" authorId="0">
      <text>
        <r>
          <rPr>
            <b/>
            <sz val="8"/>
            <color indexed="8"/>
            <rFont val="Arial"/>
            <family val="1"/>
          </rPr>
          <t>6/08:  from calcium ascorbate</t>
        </r>
      </text>
    </comment>
    <comment ref="FH87" authorId="0">
      <text>
        <r>
          <rPr>
            <sz val="8"/>
            <rFont val="Arial"/>
            <family val="2"/>
          </rPr>
          <t>6/08: proprietary blend; details online</t>
        </r>
      </text>
    </comment>
    <comment ref="HM87" authorId="0">
      <text>
        <r>
          <rPr>
            <b/>
            <sz val="8"/>
            <color indexed="8"/>
            <rFont val="Arial"/>
            <family val="1"/>
          </rPr>
          <t>6/08: from calcium ascorbate</t>
        </r>
      </text>
    </comment>
    <comment ref="A88" authorId="0">
      <text>
        <r>
          <rPr>
            <b/>
            <sz val="8"/>
            <color indexed="8"/>
            <rFont val="Arial"/>
            <family val="1"/>
          </rPr>
          <t xml:space="preserve">7/7/06: Incr w/ elim of Citrichrome
1/2/05r: added w/ decr of Citrichrome
</t>
        </r>
      </text>
    </comment>
    <comment ref="E88" authorId="0">
      <text>
        <r>
          <rPr>
            <sz val="8"/>
            <rFont val="Arial"/>
            <family val="2"/>
          </rPr>
          <t>2/3/07; decr from 4 daily</t>
        </r>
      </text>
    </comment>
    <comment ref="A89" authorId="0">
      <text>
        <r>
          <rPr>
            <b/>
            <sz val="8"/>
            <color indexed="8"/>
            <rFont val="Arial"/>
            <family val="1"/>
          </rPr>
          <t xml:space="preserve">7/7/06: Incr w/ elim of Citrichrome
1/2/05r: added w/ decr of Citrichrome
</t>
        </r>
      </text>
    </comment>
    <comment ref="E89" authorId="0">
      <text>
        <r>
          <rPr>
            <sz val="8"/>
            <rFont val="Arial"/>
            <family val="2"/>
          </rPr>
          <t>2/3/07; decr from 4 daily</t>
        </r>
      </text>
    </comment>
    <comment ref="A90" authorId="0">
      <text>
        <r>
          <rPr>
            <sz val="8"/>
            <rFont val="Arial"/>
            <family val="2"/>
          </rPr>
          <t>2/1/07: no reorder; reevaluate usage</t>
        </r>
      </text>
    </comment>
    <comment ref="E90" authorId="0">
      <text>
        <r>
          <rPr>
            <sz val="8"/>
            <rFont val="Arial"/>
            <family val="2"/>
          </rPr>
          <t>11/17/06: reduced from 2 daily
2/3/07: no reorder; reeval usage</t>
        </r>
      </text>
    </comment>
    <comment ref="E91" authorId="0">
      <text>
        <r>
          <rPr>
            <sz val="8"/>
            <rFont val="Arial"/>
            <family val="2"/>
          </rPr>
          <t>2/26/08: Incr from 7/2 to compensate for decr in LEF Mix</t>
        </r>
      </text>
    </comment>
    <comment ref="DB91" authorId="0">
      <text>
        <r>
          <rPr>
            <sz val="8"/>
            <rFont val="Arial"/>
            <family val="2"/>
          </rPr>
          <t>5/25/07: restarted;  40% hesperidin</t>
        </r>
      </text>
    </comment>
    <comment ref="E92" authorId="0">
      <text>
        <r>
          <rPr>
            <sz val="8"/>
            <rFont val="Arial"/>
            <family val="2"/>
          </rPr>
          <t>2/26/08: Incr from 7/2 to compensate for decr in LEF Mix</t>
        </r>
      </text>
    </comment>
    <comment ref="DB92" authorId="0">
      <text>
        <r>
          <rPr>
            <sz val="8"/>
            <rFont val="Arial"/>
            <family val="2"/>
          </rPr>
          <t>5/25/07: restarted;  40% hesperidin</t>
        </r>
      </text>
    </comment>
    <comment ref="A93" authorId="0">
      <text>
        <r>
          <rPr>
            <sz val="8"/>
            <rFont val="Arial"/>
            <family val="2"/>
          </rPr>
          <t>11/06 added</t>
        </r>
      </text>
    </comment>
    <comment ref="N93" authorId="0">
      <text>
        <r>
          <rPr>
            <sz val="8"/>
            <rFont val="Arial"/>
            <family val="2"/>
          </rPr>
          <t xml:space="preserve">2/5/07: PARACTIN (Bioactive 14-Neo_Andro Compound) (Andrographis paniculata) extract (organic leaf) [patented blend of Andrographilides, 14-Deoxyandrographolides, and neoandrographolides] </t>
        </r>
      </text>
    </comment>
    <comment ref="AB93" authorId="0">
      <text>
        <r>
          <rPr>
            <sz val="8"/>
            <rFont val="Arial"/>
            <family val="2"/>
          </rPr>
          <t>2/10/07: online info: WGP® 3-6 (highly purified Beta 1,3/1,6 Glucan from a unique strain of Baker's Yeast)</t>
        </r>
      </text>
    </comment>
    <comment ref="HM93" authorId="0">
      <text>
        <r>
          <rPr>
            <sz val="8"/>
            <rFont val="Arial"/>
            <family val="2"/>
          </rPr>
          <t>10/29/06: from camu camu extract
2/10/07: (included within info of Camu camu extract (wildcrafted berry)  [std. to 20% natural vitamin C (50 mg)])</t>
        </r>
      </text>
    </comment>
    <comment ref="A94" authorId="0">
      <text>
        <r>
          <rPr>
            <sz val="8"/>
            <rFont val="Arial"/>
            <family val="2"/>
          </rPr>
          <t>2/1/07: no reorder; reevaluate usage</t>
        </r>
      </text>
    </comment>
    <comment ref="E94" authorId="0">
      <text>
        <r>
          <rPr>
            <sz val="8"/>
            <rFont val="Arial"/>
            <family val="2"/>
          </rPr>
          <t>11/17/06: reduce from 2 daily
2/5/07: no re-order; reeval usage</t>
        </r>
      </text>
    </comment>
    <comment ref="A97" authorId="0">
      <text>
        <r>
          <rPr>
            <b/>
            <sz val="8"/>
            <color indexed="8"/>
            <rFont val="Arial"/>
            <family val="1"/>
          </rPr>
          <t xml:space="preserve">10/12/05: added to regimen
</t>
        </r>
      </text>
    </comment>
    <comment ref="E97" authorId="0">
      <text>
        <r>
          <rPr>
            <b/>
            <sz val="8"/>
            <color indexed="8"/>
            <rFont val="Arial"/>
            <family val="1"/>
          </rPr>
          <t xml:space="preserve">4/30/07: stopped; iron stores OK.
10/12/05: 1 every
 other day
</t>
        </r>
      </text>
    </comment>
    <comment ref="A98" authorId="0">
      <text>
        <r>
          <rPr>
            <b/>
            <sz val="8"/>
            <color indexed="8"/>
            <rFont val="Arial"/>
            <family val="1"/>
          </rPr>
          <t xml:space="preserve">10/12/05: added to regimen
</t>
        </r>
      </text>
    </comment>
    <comment ref="E98" authorId="0">
      <text>
        <r>
          <rPr>
            <b/>
            <sz val="8"/>
            <color indexed="8"/>
            <rFont val="Arial"/>
            <family val="1"/>
          </rPr>
          <t xml:space="preserve">10/12/05: 1 every
 third day
</t>
        </r>
      </text>
    </comment>
    <comment ref="A102" authorId="0">
      <text>
        <r>
          <rPr>
            <sz val="8"/>
            <rFont val="Arial"/>
            <family val="2"/>
          </rPr>
          <t>2/1/07: no reorder; reevaluate usage</t>
        </r>
      </text>
    </comment>
    <comment ref="E102" authorId="0">
      <text>
        <r>
          <rPr>
            <sz val="8"/>
            <rFont val="Arial"/>
            <family val="2"/>
          </rPr>
          <t>11/17/06: reduced from 2 daily
2/5/07: no reorder; reevaluate
7/07: restart for P at reduced level</t>
        </r>
      </text>
    </comment>
    <comment ref="A103" authorId="0">
      <text>
        <r>
          <rPr>
            <b/>
            <sz val="8"/>
            <color indexed="8"/>
            <rFont val="Arial"/>
            <family val="1"/>
          </rPr>
          <t>4/27/04: per online 83% pure L-arginine</t>
        </r>
      </text>
    </comment>
    <comment ref="E103" authorId="0">
      <text>
        <r>
          <rPr>
            <b/>
            <sz val="8"/>
            <color indexed="8"/>
            <rFont val="Arial"/>
            <family val="1"/>
          </rPr>
          <t>3/19/05: increased and moved to meal cocktail
7/31/06: ~ 1.5g of total taken at HS; cocktail qty decreased accordingly.
1/8/08: tots corrected for prev changes.
5/08: decr from 4g nom w/ addition of citrulline malate</t>
        </r>
      </text>
    </comment>
    <comment ref="A104" authorId="0">
      <text>
        <r>
          <rPr>
            <b/>
            <sz val="8"/>
            <color indexed="8"/>
            <rFont val="Arial"/>
            <family val="1"/>
          </rPr>
          <t>4/27/04: per online 83% pure L-arginine</t>
        </r>
      </text>
    </comment>
    <comment ref="E104" authorId="0">
      <text>
        <r>
          <rPr>
            <b/>
            <sz val="8"/>
            <color indexed="8"/>
            <rFont val="Arial"/>
            <family val="1"/>
          </rPr>
          <t>3/19/05: increased and moved to meal cocktail
7/31/06: ~ 1.0g of total taken at HS; cocktail qty decreased accordingly.
1/8/08: tots corrected for prev changes.
5/08: decr from 4g nom w/ addition of citrulline malate</t>
        </r>
      </text>
    </comment>
    <comment ref="A105" authorId="0">
      <text>
        <r>
          <rPr>
            <b/>
            <sz val="8"/>
            <color indexed="8"/>
            <rFont val="Arial"/>
            <family val="1"/>
          </rPr>
          <t>1/1/05: clean up green tea desig</t>
        </r>
      </text>
    </comment>
    <comment ref="E105" authorId="0">
      <text>
        <r>
          <rPr>
            <sz val="8"/>
            <rFont val="Arial"/>
            <family val="2"/>
          </rPr>
          <t>2/5/07: reduce from nominal 9g w/ move to 1 meal daily &amp; therefore 1 meal cocktail</t>
        </r>
      </text>
    </comment>
    <comment ref="O105" authorId="0">
      <text>
        <r>
          <rPr>
            <b/>
            <sz val="8"/>
            <color indexed="8"/>
            <rFont val="Arial"/>
            <family val="1"/>
          </rPr>
          <t>4/27/04: 25% via Euopean bilberry extract</t>
        </r>
      </text>
    </comment>
    <comment ref="AQ105" authorId="0">
      <text>
        <r>
          <rPr>
            <b/>
            <sz val="8"/>
            <color indexed="8"/>
            <rFont val="Arial"/>
            <family val="1"/>
          </rPr>
          <t>10/12/05: the 95% ratio; 60% is of "other" polyphenols</t>
        </r>
      </text>
    </comment>
    <comment ref="BU105" authorId="0">
      <text>
        <r>
          <rPr>
            <sz val="8"/>
            <rFont val="Arial"/>
            <family val="2"/>
          </rPr>
          <t>std. to 5% eleutheroside E (5 mg)</t>
        </r>
      </text>
    </comment>
    <comment ref="BX105" authorId="0">
      <text>
        <r>
          <rPr>
            <b/>
            <sz val="8"/>
            <color indexed="8"/>
            <rFont val="Arial"/>
            <family val="1"/>
          </rPr>
          <t>1/1/05: clean up green tea desig</t>
        </r>
      </text>
    </comment>
    <comment ref="EU105" authorId="0">
      <text>
        <r>
          <rPr>
            <b/>
            <sz val="8"/>
            <color indexed="8"/>
            <rFont val="Arial"/>
            <family val="1"/>
          </rPr>
          <t>4/27/04: via soy lecithin and 22% PS</t>
        </r>
      </text>
    </comment>
    <comment ref="FH105" authorId="0">
      <text>
        <r>
          <rPr>
            <b/>
            <sz val="8"/>
            <color indexed="8"/>
            <rFont val="Arial"/>
            <family val="1"/>
          </rPr>
          <t>4/27/04: From Masquelier's OPC 95% and Using breakdown provided on Grapeseed extract 00222 + grape extract (Biovin) 95% proanth</t>
        </r>
      </text>
    </comment>
    <comment ref="GG105" authorId="0">
      <text>
        <r>
          <rPr>
            <b/>
            <sz val="8"/>
            <color indexed="8"/>
            <rFont val="Arial"/>
            <family val="1"/>
          </rPr>
          <t>4/27/04: 85%</t>
        </r>
      </text>
    </comment>
    <comment ref="A106" authorId="0">
      <text>
        <r>
          <rPr>
            <b/>
            <sz val="8"/>
            <color indexed="8"/>
            <rFont val="Arial"/>
            <family val="1"/>
          </rPr>
          <t>1/1/05: clean up green tea desig</t>
        </r>
      </text>
    </comment>
    <comment ref="E106" authorId="0">
      <text>
        <r>
          <rPr>
            <sz val="8"/>
            <rFont val="Arial"/>
            <family val="2"/>
          </rPr>
          <t>2/5/07: reduce from nominal 9g w/ move to 1 meal daily &amp; therefore 1 meal cocktail</t>
        </r>
      </text>
    </comment>
    <comment ref="O106" authorId="0">
      <text>
        <r>
          <rPr>
            <b/>
            <sz val="8"/>
            <color indexed="8"/>
            <rFont val="Arial"/>
            <family val="1"/>
          </rPr>
          <t>4/27/04: 25% via Euopean bilberry extract</t>
        </r>
      </text>
    </comment>
    <comment ref="AQ106" authorId="0">
      <text>
        <r>
          <rPr>
            <b/>
            <sz val="8"/>
            <color indexed="8"/>
            <rFont val="Arial"/>
            <family val="1"/>
          </rPr>
          <t>10/12/05: the 95% ratio; 60% is of "other" polyphenols</t>
        </r>
      </text>
    </comment>
    <comment ref="BU106" authorId="0">
      <text>
        <r>
          <rPr>
            <sz val="8"/>
            <rFont val="Arial"/>
            <family val="2"/>
          </rPr>
          <t>std. to 5% eleutheroside E (5 mg)</t>
        </r>
      </text>
    </comment>
    <comment ref="BX106" authorId="0">
      <text>
        <r>
          <rPr>
            <b/>
            <sz val="8"/>
            <color indexed="8"/>
            <rFont val="Arial"/>
            <family val="1"/>
          </rPr>
          <t>1/1/05: clean up green tea desig</t>
        </r>
      </text>
    </comment>
    <comment ref="EU106" authorId="0">
      <text>
        <r>
          <rPr>
            <b/>
            <sz val="8"/>
            <color indexed="8"/>
            <rFont val="Arial"/>
            <family val="1"/>
          </rPr>
          <t>4/27/04: via soy lecithin and 22% PS</t>
        </r>
      </text>
    </comment>
    <comment ref="FH106" authorId="0">
      <text>
        <r>
          <rPr>
            <b/>
            <sz val="8"/>
            <color indexed="8"/>
            <rFont val="Arial"/>
            <family val="1"/>
          </rPr>
          <t>4/27/04: From Masquelier's OPC 95% and Using breakdown provided on Grapeseed extract 00222 + grape extract (Biovin) 95% proanth</t>
        </r>
      </text>
    </comment>
    <comment ref="GG106" authorId="0">
      <text>
        <r>
          <rPr>
            <b/>
            <sz val="8"/>
            <color indexed="8"/>
            <rFont val="Arial"/>
            <family val="1"/>
          </rPr>
          <t>4/27/04: 85%</t>
        </r>
      </text>
    </comment>
    <comment ref="A107" authorId="0">
      <text>
        <r>
          <rPr>
            <b/>
            <sz val="8"/>
            <color indexed="8"/>
            <rFont val="Arial"/>
            <family val="1"/>
          </rPr>
          <t xml:space="preserve">1/2/05: quantities per 10 grams taken daily by each
</t>
        </r>
      </text>
    </comment>
    <comment ref="A108" authorId="0">
      <text>
        <r>
          <rPr>
            <b/>
            <sz val="8"/>
            <color indexed="8"/>
            <rFont val="Arial"/>
            <family val="1"/>
          </rPr>
          <t xml:space="preserve">1/2/05: qties per 10 grams taken daily by each
</t>
        </r>
      </text>
    </comment>
    <comment ref="E109" authorId="0">
      <text>
        <r>
          <rPr>
            <sz val="8"/>
            <rFont val="Arial"/>
            <family val="2"/>
          </rPr>
          <t>2/5/07: no reorder; re-evaluate</t>
        </r>
      </text>
    </comment>
    <comment ref="E110" authorId="0">
      <text>
        <r>
          <rPr>
            <sz val="8"/>
            <rFont val="Arial"/>
            <family val="2"/>
          </rPr>
          <t>2/5/07: no reorder; re-evaluate</t>
        </r>
      </text>
    </comment>
    <comment ref="A111" authorId="0">
      <text>
        <r>
          <rPr>
            <sz val="8"/>
            <rFont val="Arial"/>
            <family val="2"/>
          </rPr>
          <t>1/1/508: new prod, avail 2/1/08</t>
        </r>
      </text>
    </comment>
    <comment ref="EJ111" authorId="0">
      <text>
        <r>
          <rPr>
            <sz val="8"/>
            <rFont val="Arial"/>
            <family val="2"/>
          </rPr>
          <t>1/15/08: [standardized to 90% Hydroxymatairesinol potassium acetate complex (100 mg)]</t>
        </r>
      </text>
    </comment>
    <comment ref="A112" authorId="0">
      <text>
        <r>
          <rPr>
            <b/>
            <sz val="8"/>
            <color indexed="8"/>
            <rFont val="Arial"/>
            <family val="1"/>
          </rPr>
          <t>1/1/05: l-Lysine removed;
1/11/06: new formulation
1/25/07 new # &amp; formulation
7/07: chng from 935 to reg Niacin #937
1/08: new formulation</t>
        </r>
      </text>
    </comment>
    <comment ref="E112" authorId="0">
      <text>
        <r>
          <rPr>
            <sz val="8"/>
            <rFont val="Arial"/>
            <family val="2"/>
          </rPr>
          <t>6/8/07: reduced from 8; reduction of total pill qty</t>
        </r>
      </text>
    </comment>
    <comment ref="H112" authorId="0">
      <text>
        <r>
          <rPr>
            <sz val="8"/>
            <color indexed="8"/>
            <rFont val="Arial"/>
            <family val="1"/>
          </rPr>
          <t>4/25/04: as powder
1/28/07: same total; powder extract 1:4;
1/8/08: #1237 same total; (Malpighia punicifolia) (fruit)</t>
        </r>
      </text>
    </comment>
    <comment ref="L112" authorId="0">
      <text>
        <r>
          <rPr>
            <sz val="8"/>
            <color indexed="8"/>
            <rFont val="Arial"/>
            <family val="1"/>
          </rPr>
          <t>01/01/05: new amt
01/11/06: new using IU and 100; in 2004 (#635) prev was 89mcg
1/26/07: same;
7/07: #937 100mg
1/8/08: #1237 same 100mg/9</t>
        </r>
      </text>
    </comment>
    <comment ref="O112" authorId="0">
      <text>
        <r>
          <rPr>
            <sz val="8"/>
            <color indexed="8"/>
            <rFont val="Arial"/>
            <family val="1"/>
          </rPr>
          <t>01/01/05: from Bilberry
01/11/06: ok
1/28/07: same
1/08: same</t>
        </r>
      </text>
    </comment>
    <comment ref="P112" authorId="0">
      <text>
        <r>
          <rPr>
            <sz val="8"/>
            <color indexed="8"/>
            <rFont val="Arial"/>
            <family val="1"/>
          </rPr>
          <t>1/11/06: from Wild Blueberry (Vaccinium angustifolium (via website)
1/28/07: same
1/8/08: same</t>
        </r>
      </text>
    </comment>
    <comment ref="AA112" authorId="0">
      <text>
        <r>
          <rPr>
            <sz val="8"/>
            <color indexed="8"/>
            <rFont val="Arial"/>
            <family val="1"/>
          </rPr>
          <t>1/11/06: prod 835 in mag shows 1000IU but online shows 5000 - 20% Betatene® D. salina natural beta-carotene with mixed carotenoids
1/25/07: same as above for #935
1/8/08: natural D.Salina also listed online as 54% of 5000IU</t>
        </r>
      </text>
    </comment>
    <comment ref="AE112" authorId="0">
      <text>
        <r>
          <rPr>
            <sz val="8"/>
            <color indexed="8"/>
            <rFont val="Arial"/>
            <family val="1"/>
          </rPr>
          <t xml:space="preserve">1/11/06: ok
1/25/07: same, per 2/07 mag
1/8/08: same
</t>
        </r>
      </text>
    </comment>
    <comment ref="AG112" authorId="0">
      <text>
        <r>
          <rPr>
            <sz val="8"/>
            <color indexed="8"/>
            <rFont val="Arial"/>
            <family val="1"/>
          </rPr>
          <t>4/25/04: as boron citrate/asparatate/glycinate) 
01/01/05, &amp;06:  ok
1/26/07: same
1/8/08: same</t>
        </r>
      </text>
    </comment>
    <comment ref="AH112" authorId="0">
      <text>
        <r>
          <rPr>
            <sz val="8"/>
            <color indexed="8"/>
            <rFont val="Arial"/>
            <family val="1"/>
          </rPr>
          <t xml:space="preserve">1/1/05: new amt:
1/11/06: same total but using from mag info 25mg d-glucarate separately; also 1.5mg sulphoraphanes; 5mg glucosinolates
1/28/07: same
1/8/08: same </t>
        </r>
      </text>
    </comment>
    <comment ref="AI112" authorId="0">
      <text>
        <r>
          <rPr>
            <sz val="8"/>
            <color indexed="8"/>
            <rFont val="Arial"/>
            <family val="1"/>
          </rPr>
          <t>1/11/06: same
1/28/07: same + (2400 gelatin digestive units per gram)
1/8/08: same</t>
        </r>
      </text>
    </comment>
    <comment ref="AJ112" authorId="0">
      <text>
        <r>
          <rPr>
            <sz val="8"/>
            <color indexed="8"/>
            <rFont val="Arial"/>
            <family val="1"/>
          </rPr>
          <t>10/12/05: includes calcium d-glucorate &amp; other sources
1/11/06:ok
1/28/07 correction to include (rather than 18 )from Broc Spr Concen</t>
        </r>
      </text>
    </comment>
    <comment ref="AQ112" authorId="0">
      <text>
        <r>
          <rPr>
            <sz val="8"/>
            <color indexed="8"/>
            <rFont val="Arial"/>
            <family val="1"/>
          </rPr>
          <t xml:space="preserve">1/1/05: added constituent (via green tea)
1/13/08: same
</t>
        </r>
      </text>
    </comment>
    <comment ref="AU112" authorId="0">
      <text>
        <r>
          <rPr>
            <sz val="8"/>
            <color indexed="8"/>
            <rFont val="Arial"/>
            <family val="1"/>
          </rPr>
          <t xml:space="preserve">1/1/05: new amt
1/11/06 ok
1/26/07: same amt (from bitartrate)
1/9/08: same
</t>
        </r>
      </text>
    </comment>
    <comment ref="AV112" authorId="0">
      <text>
        <r>
          <rPr>
            <sz val="8"/>
            <color indexed="8"/>
            <rFont val="Arial"/>
            <family val="1"/>
          </rPr>
          <t xml:space="preserve">1/1/05:  new amt; 200mcg in previous #635
1/11/06: same in #735
1/26/07: same amt (as Chromium 454 bio-organicd yeast extract matrix)
1/9/08: same
</t>
        </r>
      </text>
    </comment>
    <comment ref="AY112" authorId="0">
      <text>
        <r>
          <rPr>
            <sz val="8"/>
            <rFont val="Arial"/>
            <family val="2"/>
          </rPr>
          <t>1/13/08: new ingred stand to 45% polyphenols (listed separately)</t>
        </r>
      </text>
    </comment>
    <comment ref="BA112" authorId="0">
      <text>
        <r>
          <rPr>
            <sz val="8"/>
            <color indexed="8"/>
            <rFont val="Arial"/>
            <family val="1"/>
          </rPr>
          <t xml:space="preserve">1/11/06: ok
1/26/07: same
1/9/08: same
</t>
        </r>
      </text>
    </comment>
    <comment ref="BG112" authorId="0">
      <text>
        <r>
          <rPr>
            <sz val="8"/>
            <color indexed="8"/>
            <rFont val="Arial"/>
            <family val="1"/>
          </rPr>
          <t xml:space="preserve">1/11/06: same
1/26/07: same
1/9/08: same
</t>
        </r>
      </text>
    </comment>
    <comment ref="BO112" authorId="0">
      <text>
        <r>
          <rPr>
            <sz val="8"/>
            <color indexed="8"/>
            <rFont val="Arial"/>
            <family val="1"/>
          </rPr>
          <t>1/11/06: ok
1/26/07: same
1/08: deleted from formulation</t>
        </r>
      </text>
    </comment>
    <comment ref="BX112" authorId="0">
      <text>
        <r>
          <rPr>
            <sz val="8"/>
            <color indexed="8"/>
            <rFont val="Arial"/>
            <family val="1"/>
          </rPr>
          <t>1/1/05: added constituent
1/11/06: from green tea extr as previous
1/28/07 % incr from #835
1/9/08: same</t>
        </r>
      </text>
    </comment>
    <comment ref="BZ112" authorId="0">
      <text>
        <r>
          <rPr>
            <sz val="8"/>
            <color indexed="8"/>
            <rFont val="Arial"/>
            <family val="1"/>
          </rPr>
          <t>1/1/05: Naringen,  Naringenin &amp; 7-B-rutinoside combined
1/11/06: same ingreds &amp; amt
1/28/07: same % &amp; citrus bioflavnoid total online
1/9/08: sharp decrease from 1300mg total citrus bioflavonoids</t>
        </r>
      </text>
    </comment>
    <comment ref="CA112" authorId="0">
      <text>
        <r>
          <rPr>
            <sz val="8"/>
            <color indexed="8"/>
            <rFont val="Arial"/>
            <family val="1"/>
          </rPr>
          <t xml:space="preserve">1/11/06: part of citrus biofalvanoid breakdown per website info, not in catalog or mag
1/28/07: same
1/9/08: website for brkdown; sharp decrease in total from 1300 mg
</t>
        </r>
      </text>
    </comment>
    <comment ref="CB112" authorId="0">
      <text>
        <r>
          <rPr>
            <sz val="8"/>
            <color indexed="8"/>
            <rFont val="Arial"/>
            <family val="1"/>
          </rPr>
          <t xml:space="preserve">1/11/06: same
1/25/07: same
1/9/08: same
</t>
        </r>
      </text>
    </comment>
    <comment ref="CE112" authorId="0">
      <text>
        <r>
          <rPr>
            <sz val="8"/>
            <color indexed="8"/>
            <rFont val="Arial"/>
            <family val="1"/>
          </rPr>
          <t xml:space="preserve">1/1/05: new constituent: blackberry, blueberry, cranberry, elderberry, persimmon, plum , cherry. No breakdown provided.
1/11/06: same
1/28/07 same
1/9/08: same
</t>
        </r>
      </text>
    </comment>
    <comment ref="CH112" authorId="0">
      <text>
        <r>
          <rPr>
            <sz val="8"/>
            <color indexed="8"/>
            <rFont val="Arial"/>
            <family val="1"/>
          </rPr>
          <t>1/1/05: added
1/11/06: all 75% of polyphenols of grape extract (BioVin); online info; not included in mag or catalogue
1/28/07: same
1/9/08: same</t>
        </r>
      </text>
    </comment>
    <comment ref="CK112" authorId="0">
      <text>
        <r>
          <rPr>
            <sz val="8"/>
            <color indexed="8"/>
            <rFont val="Arial"/>
            <family val="1"/>
          </rPr>
          <t>1/11/06: same as 2005; 
1/27/08: same total; 
1/9/08: same</t>
        </r>
      </text>
    </comment>
    <comment ref="CP112" authorId="0">
      <text>
        <r>
          <rPr>
            <sz val="8"/>
            <color indexed="8"/>
            <rFont val="Arial"/>
            <family val="1"/>
          </rPr>
          <t xml:space="preserve">10/12/05: includes broccoli source using % breakdown info from LEF Mix
1/11/06: MW% for glucorate portion of CaGlucorate=408.122/448.200
1/28/07: same
1/9/08: same
</t>
        </r>
      </text>
    </comment>
    <comment ref="DB112" authorId="0">
      <text>
        <r>
          <rPr>
            <sz val="8"/>
            <color indexed="8"/>
            <rFont val="Arial"/>
            <family val="1"/>
          </rPr>
          <t>1/1/05: new breakdown designation
1/11/06: included in Citrus bioflavanoids
1/28/07: same
1/9/08: sharp decrease from 455 g</t>
        </r>
      </text>
    </comment>
    <comment ref="DG112" authorId="0">
      <text>
        <r>
          <rPr>
            <sz val="8"/>
            <color indexed="8"/>
            <rFont val="Arial"/>
            <family val="1"/>
          </rPr>
          <t>1/11/06: same
1/26/07: same
1/9/08: same</t>
        </r>
      </text>
    </comment>
    <comment ref="DI112" authorId="0">
      <text>
        <r>
          <rPr>
            <sz val="8"/>
            <color indexed="8"/>
            <rFont val="Arial"/>
            <family val="1"/>
          </rPr>
          <t>1/11/06: same
1/26/07: same
1/9/08: same</t>
        </r>
      </text>
    </comment>
    <comment ref="DT112" authorId="0">
      <text>
        <r>
          <rPr>
            <sz val="8"/>
            <color indexed="8"/>
            <rFont val="Arial"/>
            <family val="1"/>
          </rPr>
          <t>1/11/06: same
1/28/07: same
1/9/08: same</t>
        </r>
      </text>
    </comment>
    <comment ref="DU112" authorId="0">
      <text>
        <r>
          <rPr>
            <sz val="8"/>
            <color indexed="8"/>
            <rFont val="Arial"/>
            <family val="1"/>
          </rPr>
          <t xml:space="preserve">1/1/05: new constituent
1/11/06: same
1/28/07: same + [from perilla leaf extract]
1/9/08: same </t>
        </r>
      </text>
    </comment>
    <comment ref="DV112" authorId="0">
      <text>
        <r>
          <rPr>
            <sz val="8"/>
            <color indexed="8"/>
            <rFont val="Arial"/>
            <family val="1"/>
          </rPr>
          <t>1/11/06: same
1/28/07: same
1/9/08: same</t>
        </r>
      </text>
    </comment>
    <comment ref="DX112" authorId="0">
      <text>
        <r>
          <rPr>
            <sz val="8"/>
            <color indexed="8"/>
            <rFont val="Arial"/>
            <family val="1"/>
          </rPr>
          <t>1/1/05: no breakdown
1/11/06: breakdown oxide, citrate, glycinate, taurinae, arginate, ascorbate.
1/26/07: Mg Oxide incr from 260.96; others same
1/9/08: same</t>
        </r>
      </text>
    </comment>
    <comment ref="DY112" authorId="0">
      <text>
        <r>
          <rPr>
            <sz val="8"/>
            <color indexed="8"/>
            <rFont val="Arial"/>
            <family val="1"/>
          </rPr>
          <t>1/1/05: reduced amt; gluconate
1/11/06: same
1/26/07: same
1/9/08: same</t>
        </r>
      </text>
    </comment>
    <comment ref="ED112" authorId="0">
      <text>
        <r>
          <rPr>
            <sz val="8"/>
            <color indexed="8"/>
            <rFont val="Arial"/>
            <family val="1"/>
          </rPr>
          <t xml:space="preserve">1/11/06: same
1/26/07: same
1/9/08: same
</t>
        </r>
      </text>
    </comment>
    <comment ref="EK112" authorId="0">
      <text>
        <r>
          <rPr>
            <sz val="8"/>
            <color indexed="8"/>
            <rFont val="Arial"/>
            <family val="1"/>
          </rPr>
          <t>1/1/05: new constituent
1/11/06: polyphenols listed separately
1/28/07: same
1/15/08: same</t>
        </r>
      </text>
    </comment>
    <comment ref="EP112" authorId="0">
      <text>
        <r>
          <rPr>
            <sz val="8"/>
            <color indexed="8"/>
            <rFont val="Arial"/>
            <family val="1"/>
          </rPr>
          <t xml:space="preserve">1/11/06: same
1/26/07: same
1/08: deleted from formulation
</t>
        </r>
      </text>
    </comment>
    <comment ref="EU112" authorId="0">
      <text>
        <r>
          <rPr>
            <sz val="8"/>
            <color indexed="8"/>
            <rFont val="Arial"/>
            <family val="1"/>
          </rPr>
          <t>1/11/06: same (from soy)
1/26/07: same
1/9/08: same</t>
        </r>
      </text>
    </comment>
    <comment ref="FC112" authorId="0">
      <text>
        <r>
          <rPr>
            <sz val="8"/>
            <color indexed="8"/>
            <rFont val="Arial"/>
            <family val="1"/>
          </rPr>
          <t xml:space="preserve">1/11/06: green tea ext, olive juice ext, grape extr – totals
1/28/07: %incr on green tea; same for olive juice extr &amp; grape extr
1/9/08: % incr on olive juice + </t>
        </r>
        <r>
          <rPr>
            <sz val="8"/>
            <color indexed="8"/>
            <rFont val="Arial"/>
            <family val="2"/>
          </rPr>
          <t xml:space="preserve">addition of cocoa polyphenols
</t>
        </r>
      </text>
    </comment>
    <comment ref="FD112" authorId="0">
      <text>
        <r>
          <rPr>
            <sz val="8"/>
            <rFont val="Arial"/>
            <family val="2"/>
          </rPr>
          <t xml:space="preserve">1/28/07: standardized to 30% Punicalagins (25.5mg)
</t>
        </r>
        <r>
          <rPr>
            <sz val="8"/>
            <color indexed="8"/>
            <rFont val="Arial"/>
            <family val="2"/>
          </rPr>
          <t>1/9/08: same</t>
        </r>
      </text>
    </comment>
    <comment ref="FE112" authorId="0">
      <text>
        <r>
          <rPr>
            <sz val="8"/>
            <color indexed="8"/>
            <rFont val="Arial"/>
            <family val="1"/>
          </rPr>
          <t>1/1/05: all chloride;
1/11/06: same; 1/26/07: same
1/9/08: same</t>
        </r>
      </text>
    </comment>
    <comment ref="FH112" authorId="0">
      <text>
        <r>
          <rPr>
            <sz val="8"/>
            <color indexed="8"/>
            <rFont val="Arial"/>
            <family val="1"/>
          </rPr>
          <t>1/1/05: grapeseed extract (Leucoselect 95% proan) + grape extract (Biovin) 95% proanth;
1/11/06: same for grapeseed; grape extr 75% of proanthocyanidins are polyphenols totaled elsewhere.
1/28/07: same for grpsd ext &amp; grap extr
1/9/08: same</t>
        </r>
      </text>
    </comment>
    <comment ref="FY112" authorId="0">
      <text>
        <r>
          <rPr>
            <sz val="8"/>
            <color indexed="8"/>
            <rFont val="Arial"/>
            <family val="1"/>
          </rPr>
          <t>1/11/06: same
1/26/07: same (per mag)
1/9/08: same</t>
        </r>
      </text>
    </comment>
    <comment ref="FZ112" authorId="0">
      <text>
        <r>
          <rPr>
            <sz val="8"/>
            <color indexed="8"/>
            <rFont val="Arial"/>
            <family val="1"/>
          </rPr>
          <t xml:space="preserve">1/11/06: same
1/26/07: same (per web)
1/9/08: same
</t>
        </r>
      </text>
    </comment>
    <comment ref="GA112" authorId="0">
      <text>
        <r>
          <rPr>
            <sz val="8"/>
            <color indexed="8"/>
            <rFont val="Arial"/>
            <family val="1"/>
          </rPr>
          <t>1/11/06: same
1/26/07: same (per web)
1/9/08: same</t>
        </r>
      </text>
    </comment>
    <comment ref="GC112" authorId="0">
      <text>
        <r>
          <rPr>
            <sz val="8"/>
            <color indexed="8"/>
            <rFont val="Arial"/>
            <family val="1"/>
          </rPr>
          <t>1/1/05: new constituent
1/11/06: same
1/28/07: same
1/10/08: same</t>
        </r>
      </text>
    </comment>
    <comment ref="GG112" authorId="0">
      <text>
        <r>
          <rPr>
            <sz val="8"/>
            <color indexed="8"/>
            <rFont val="Arial"/>
            <family val="1"/>
          </rPr>
          <t>1/1/05: from Milk Thistle 
1/11/06: same
1/28/07: same
1/10/08: same</t>
        </r>
      </text>
    </comment>
    <comment ref="GM112" authorId="0">
      <text>
        <r>
          <rPr>
            <sz val="8"/>
            <color indexed="8"/>
            <rFont val="Arial"/>
            <family val="1"/>
          </rPr>
          <t xml:space="preserve">1/11/06: same
1/26/07: same
1/10/08: reduced from 500mg/9
</t>
        </r>
      </text>
    </comment>
    <comment ref="GO112" authorId="0">
      <text>
        <r>
          <rPr>
            <sz val="8"/>
            <color indexed="8"/>
            <rFont val="Arial"/>
            <family val="1"/>
          </rPr>
          <t xml:space="preserve">1/11/06: ok
1/26/07: same
1/08: deleted from formulation
</t>
        </r>
      </text>
    </comment>
    <comment ref="GR112" authorId="0">
      <text>
        <r>
          <rPr>
            <sz val="8"/>
            <color indexed="8"/>
            <rFont val="Arial"/>
            <family val="1"/>
          </rPr>
          <t>1/11/06: same
1/26/07: same
1/10/08: same</t>
        </r>
      </text>
    </comment>
    <comment ref="GX112" authorId="0">
      <text>
        <r>
          <rPr>
            <sz val="8"/>
            <color indexed="8"/>
            <rFont val="Arial"/>
            <family val="1"/>
          </rPr>
          <t xml:space="preserve">1/11/06: revision of LEF info
1/25/07: same for #935
1/10/08: reduction from 4000IU
</t>
        </r>
      </text>
    </comment>
    <comment ref="GZ112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HA112" authorId="0">
      <text>
        <r>
          <rPr>
            <sz val="8"/>
            <color indexed="8"/>
            <rFont val="Arial"/>
            <family val="1"/>
          </rPr>
          <t>1/11/06: same
1/25/07: same; note as supplying 2 mg riboflavin 5' phosphate coenzyme
1/10/08: same</t>
        </r>
      </text>
    </comment>
    <comment ref="HB112" authorId="0">
      <text>
        <r>
          <rPr>
            <sz val="8"/>
            <color indexed="8"/>
            <rFont val="Arial"/>
            <family val="1"/>
          </rPr>
          <t xml:space="preserve">1/1/05: new amt
1/11/06: correction;
1/25/07: detail per magazine
1/10/08: same  </t>
        </r>
      </text>
    </comment>
    <comment ref="HC112" authorId="0">
      <text>
        <r>
          <rPr>
            <sz val="8"/>
            <color indexed="8"/>
            <rFont val="Arial"/>
            <family val="1"/>
          </rPr>
          <t>1/1/05: new amt
1/11/06: niacinimide and niacinimide ascorbate w/o breakdown provided
1/25/07: same
1/10/08: same</t>
        </r>
      </text>
    </comment>
    <comment ref="HD112" authorId="0">
      <text>
        <r>
          <rPr>
            <sz val="8"/>
            <color indexed="8"/>
            <rFont val="Arial"/>
            <family val="1"/>
          </rPr>
          <t xml:space="preserve">1/11/06: same
1/25/07: same, per 2/07 mag
1/10/08: same
</t>
        </r>
      </text>
    </comment>
    <comment ref="HE112" authorId="0">
      <text>
        <r>
          <rPr>
            <sz val="8"/>
            <color indexed="8"/>
            <rFont val="Arial"/>
            <family val="1"/>
          </rPr>
          <t>1/11/06: same
1/25/07: same, per 2/07 mag
1/10/08: same</t>
        </r>
      </text>
    </comment>
    <comment ref="HF112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HH112" authorId="0">
      <text>
        <r>
          <rPr>
            <sz val="8"/>
            <color indexed="8"/>
            <rFont val="Arial"/>
            <family val="1"/>
          </rPr>
          <t>1/11/06: same
1/25/07: same
1/10/08: same</t>
        </r>
      </text>
    </comment>
    <comment ref="HI112" authorId="0">
      <text>
        <r>
          <rPr>
            <sz val="8"/>
            <color indexed="8"/>
            <rFont val="Arial"/>
            <family val="1"/>
          </rPr>
          <t xml:space="preserve">1/11/06: corrected info
1/25/07: same, per 2/07 mag
1/10/08: same
</t>
        </r>
      </text>
    </comment>
    <comment ref="HJ112" authorId="0">
      <text>
        <r>
          <rPr>
            <sz val="8"/>
            <color indexed="8"/>
            <rFont val="Arial"/>
            <family val="1"/>
          </rPr>
          <t xml:space="preserve">1/11/06: corrected info
1/25/07: same, per 2/07 mag
1/10/08: same
</t>
        </r>
      </text>
    </comment>
    <comment ref="HL112" authorId="0">
      <text>
        <r>
          <rPr>
            <sz val="8"/>
            <color indexed="8"/>
            <rFont val="Arial"/>
            <family val="1"/>
          </rPr>
          <t>1/11/06: corrected info
1/25/07: same, per 2/07 mag
1/10/08: same</t>
        </r>
      </text>
    </comment>
    <comment ref="HM112" authorId="0">
      <text>
        <r>
          <rPr>
            <sz val="8"/>
            <color indexed="8"/>
            <rFont val="Arial"/>
            <family val="1"/>
          </rPr>
          <t>1/1/05: reduced from 2605mg
1/11/06: same
1/25/07: same
1/10/08: same</t>
        </r>
      </text>
    </comment>
    <comment ref="HN112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HO112" authorId="0">
      <text>
        <r>
          <rPr>
            <sz val="8"/>
            <color indexed="8"/>
            <rFont val="Arial"/>
            <family val="1"/>
          </rPr>
          <t>1/1/05: incr from 400 IU
1/11/06: same
1/25/07: same
1/10/08: same</t>
        </r>
      </text>
    </comment>
    <comment ref="HP112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IH112" authorId="0">
      <text>
        <r>
          <rPr>
            <sz val="8"/>
            <color indexed="8"/>
            <rFont val="Arial"/>
            <family val="1"/>
          </rPr>
          <t>1/1/05: new breakdown of lutein complex &amp; incr from 75mg
1/11/06: same
1/28/07 same
1/10/08: same</t>
        </r>
      </text>
    </comment>
    <comment ref="II112" authorId="0">
      <text>
        <r>
          <rPr>
            <sz val="8"/>
            <color indexed="8"/>
            <rFont val="Arial"/>
            <family val="1"/>
          </rPr>
          <t>1/1/05: no breakdown
1/11/06: breakdown: methionate &amp; succinate
1/26/07: same
1/10/08: same</t>
        </r>
      </text>
    </comment>
    <comment ref="A113" authorId="0">
      <text>
        <r>
          <rPr>
            <sz val="8"/>
            <color indexed="8"/>
            <rFont val="Arial"/>
            <family val="1"/>
          </rPr>
          <t>1/1/05: l-Lysine removed;
1/11/06: new formulation
1/25/07 new # &amp; formulation
7/07: chng from 935 to reg Niacin #937
1/08: new formulation</t>
        </r>
      </text>
    </comment>
    <comment ref="E113" authorId="0">
      <text>
        <r>
          <rPr>
            <sz val="8"/>
            <rFont val="Arial"/>
            <family val="2"/>
          </rPr>
          <t>6/8/07: reduced from 5; reduce of total pill qty</t>
        </r>
      </text>
    </comment>
    <comment ref="H113" authorId="0">
      <text>
        <r>
          <rPr>
            <sz val="8"/>
            <color indexed="8"/>
            <rFont val="Arial"/>
            <family val="1"/>
          </rPr>
          <t>4/25/04: as powder
1/28/07: same total; powder extract 1:4;
1/8/08: #1237 same total; (Malpighia punicifolia) (fruit)</t>
        </r>
      </text>
    </comment>
    <comment ref="L113" authorId="0">
      <text>
        <r>
          <rPr>
            <sz val="8"/>
            <color indexed="8"/>
            <rFont val="Arial"/>
            <family val="1"/>
          </rPr>
          <t>01/01/05: new amt
01/11/06: new using IU and 100; in 2004 (#635) prev was 89mcg
1/26/07: same;
7/07: #937 100mg
1/8/08: #1237 same</t>
        </r>
      </text>
    </comment>
    <comment ref="O113" authorId="0">
      <text>
        <r>
          <rPr>
            <sz val="8"/>
            <color indexed="8"/>
            <rFont val="Arial"/>
            <family val="1"/>
          </rPr>
          <t>01/01/05: from Bilberry
01/11/06: ok
1/28/07: same
1/08/08: same</t>
        </r>
      </text>
    </comment>
    <comment ref="P113" authorId="0">
      <text>
        <r>
          <rPr>
            <sz val="8"/>
            <color indexed="8"/>
            <rFont val="Arial"/>
            <family val="1"/>
          </rPr>
          <t>1/11/06: from Wild Blueberry (Vaccinium angustifolium (via website)
1/28/07: same
1/8/08: same</t>
        </r>
      </text>
    </comment>
    <comment ref="AA113" authorId="0">
      <text>
        <r>
          <rPr>
            <sz val="8"/>
            <color indexed="8"/>
            <rFont val="Arial"/>
            <family val="1"/>
          </rPr>
          <t>1/11/06: prod 835 in mag shows 1000IU but online shows 5000 - 20% Betatene® D. salina natural beta-carotene with mixed carotenoids
1/25/07: same as above for #935
1/8/08: natural D.Salina also listed online as 54% of 5000IU</t>
        </r>
      </text>
    </comment>
    <comment ref="AE113" authorId="0">
      <text>
        <r>
          <rPr>
            <sz val="8"/>
            <color indexed="8"/>
            <rFont val="Arial"/>
            <family val="1"/>
          </rPr>
          <t xml:space="preserve">1/11/06: ok
1/25/07: same, per 2/07 mag
1/8/08: same
</t>
        </r>
      </text>
    </comment>
    <comment ref="AG113" authorId="0">
      <text>
        <r>
          <rPr>
            <sz val="8"/>
            <color indexed="8"/>
            <rFont val="Arial"/>
            <family val="1"/>
          </rPr>
          <t>4/25/04: as boron citrate/asparatate/glycinate) 
01/01/05, &amp;06:  ok
1/26/07: same
1/8/08: same</t>
        </r>
      </text>
    </comment>
    <comment ref="AH113" authorId="0">
      <text>
        <r>
          <rPr>
            <sz val="8"/>
            <color indexed="8"/>
            <rFont val="Arial"/>
            <family val="1"/>
          </rPr>
          <t>1/1/05: new amt:
1/11/06: same total but using from mag info 25mg d-glucarate separately; also 1.5mg sulphoraphanes; 5mg glucosinolates
1/28/07: same
1/8/08: same</t>
        </r>
      </text>
    </comment>
    <comment ref="AI113" authorId="0">
      <text>
        <r>
          <rPr>
            <sz val="8"/>
            <color indexed="8"/>
            <rFont val="Arial"/>
            <family val="1"/>
          </rPr>
          <t>1/11/06: same
1/28/07: same + (2400 gelatin digestive units per gram)
1/8/08: same</t>
        </r>
      </text>
    </comment>
    <comment ref="AJ113" authorId="0">
      <text>
        <r>
          <rPr>
            <sz val="8"/>
            <color indexed="8"/>
            <rFont val="Arial"/>
            <family val="1"/>
          </rPr>
          <t>10/12/05: includes calcium d-glucorate &amp; other sources
1/11/06:ok
1/28/07 correction to include (rather than 18 )from Broc Spr Concen</t>
        </r>
      </text>
    </comment>
    <comment ref="AQ113" authorId="0">
      <text>
        <r>
          <rPr>
            <sz val="8"/>
            <color indexed="8"/>
            <rFont val="Arial"/>
            <family val="1"/>
          </rPr>
          <t xml:space="preserve">1/1/05: added constituent (via green tea)
1/13/08: same
</t>
        </r>
      </text>
    </comment>
    <comment ref="AU113" authorId="0">
      <text>
        <r>
          <rPr>
            <sz val="8"/>
            <color indexed="8"/>
            <rFont val="Arial"/>
            <family val="1"/>
          </rPr>
          <t xml:space="preserve">1/1/05: new amt
1/11/06 ok
1/26/07: same amt (from bitartrate)
1/9/08: same
</t>
        </r>
      </text>
    </comment>
    <comment ref="AV113" authorId="0">
      <text>
        <r>
          <rPr>
            <sz val="8"/>
            <color indexed="8"/>
            <rFont val="Arial"/>
            <family val="1"/>
          </rPr>
          <t xml:space="preserve">1/1/05:  new amt; 200mcg in previous #635
1/11/06: same in #735
1/26/07: same amt (as Chromium 454 bio-organicd yeast extract matrix)
1/9/08: same
</t>
        </r>
      </text>
    </comment>
    <comment ref="AY113" authorId="0">
      <text>
        <r>
          <rPr>
            <sz val="8"/>
            <rFont val="Arial"/>
            <family val="2"/>
          </rPr>
          <t>1/13/08: new ingred stand to 45% polyphenols (listed separately))</t>
        </r>
      </text>
    </comment>
    <comment ref="BA113" authorId="0">
      <text>
        <r>
          <rPr>
            <sz val="8"/>
            <color indexed="8"/>
            <rFont val="Arial"/>
            <family val="1"/>
          </rPr>
          <t xml:space="preserve">1/11/06: ok
1/26/07: same
1/9/08: same
</t>
        </r>
      </text>
    </comment>
    <comment ref="BG113" authorId="0">
      <text>
        <r>
          <rPr>
            <sz val="8"/>
            <color indexed="8"/>
            <rFont val="Arial"/>
            <family val="1"/>
          </rPr>
          <t xml:space="preserve">1/11/06: same
1/26/07: same
1/9/08: same
</t>
        </r>
      </text>
    </comment>
    <comment ref="BO113" authorId="0">
      <text>
        <r>
          <rPr>
            <sz val="8"/>
            <color indexed="8"/>
            <rFont val="Arial"/>
            <family val="1"/>
          </rPr>
          <t xml:space="preserve">1/11/06: ok
1/26/07: same
1/08: deleted from formulation
</t>
        </r>
      </text>
    </comment>
    <comment ref="BX113" authorId="0">
      <text>
        <r>
          <rPr>
            <sz val="8"/>
            <color indexed="8"/>
            <rFont val="Arial"/>
            <family val="1"/>
          </rPr>
          <t>1/1/05: added constituent
1/11/06: from green tea extr as previous
1/28/07 % incr from #835
1/9/08: same</t>
        </r>
      </text>
    </comment>
    <comment ref="BZ113" authorId="0">
      <text>
        <r>
          <rPr>
            <sz val="8"/>
            <color indexed="8"/>
            <rFont val="Arial"/>
            <family val="1"/>
          </rPr>
          <t>1/1/05: Naringen,  Naringenin &amp; 7-B-rutinoside combined
1/11/06: same ingreds &amp; amt
1/28/07: same % &amp; citrus bioflavnoid total online
1/9/08: sharp decrease from 1300mg total citrus bioflavonoids</t>
        </r>
      </text>
    </comment>
    <comment ref="CA113" authorId="0">
      <text>
        <r>
          <rPr>
            <sz val="8"/>
            <color indexed="8"/>
            <rFont val="Arial"/>
            <family val="1"/>
          </rPr>
          <t>1/11/06: part of citrus biofalvanoid breakdown per website info, not in catalog or mag
1/28/07: same
1/9/08: website for brkdown; sharp decrease in total from 1300 mg</t>
        </r>
      </text>
    </comment>
    <comment ref="CB113" authorId="0">
      <text>
        <r>
          <rPr>
            <sz val="8"/>
            <color indexed="8"/>
            <rFont val="Arial"/>
            <family val="1"/>
          </rPr>
          <t xml:space="preserve">1/11/06: same
1/25/07: same
1/9/08: same
</t>
        </r>
      </text>
    </comment>
    <comment ref="CE113" authorId="0">
      <text>
        <r>
          <rPr>
            <sz val="8"/>
            <color indexed="8"/>
            <rFont val="Arial"/>
            <family val="1"/>
          </rPr>
          <t xml:space="preserve">1/1/05: new constituent: blackberry, blueberry, cranberry, elderberry, persimmon, plum , cherry. No breakdown provided.
1/11/06: same
1/28/07 same
1/9/08: same
</t>
        </r>
      </text>
    </comment>
    <comment ref="CH113" authorId="0">
      <text>
        <r>
          <rPr>
            <sz val="8"/>
            <color indexed="8"/>
            <rFont val="Arial"/>
            <family val="1"/>
          </rPr>
          <t>1/1/05: added
1/11/06: all 75% of polyphenols of grape extract (BioVin); online info; not included in mag or catalogue
1/28/07: same
1/9/08: same</t>
        </r>
      </text>
    </comment>
    <comment ref="CK113" authorId="0">
      <text>
        <r>
          <rPr>
            <sz val="8"/>
            <color indexed="8"/>
            <rFont val="Arial"/>
            <family val="1"/>
          </rPr>
          <t>1/11/06: same as 2005; 
1/27/08: same total; 
1/9/08: same</t>
        </r>
      </text>
    </comment>
    <comment ref="CP113" authorId="0">
      <text>
        <r>
          <rPr>
            <sz val="8"/>
            <color indexed="8"/>
            <rFont val="Arial"/>
            <family val="1"/>
          </rPr>
          <t xml:space="preserve">10/12/05: includes broccoli source using % breakdown info from LEF Mix
1/11/06: MW% for glucorate portion of CaGlucorate=408.122/448.200
1/28/07: same
1/9/08: same
</t>
        </r>
      </text>
    </comment>
    <comment ref="DB113" authorId="0">
      <text>
        <r>
          <rPr>
            <sz val="8"/>
            <color indexed="8"/>
            <rFont val="Arial"/>
            <family val="1"/>
          </rPr>
          <t xml:space="preserve">1/1/05: new breakdown designation
1/11/06: included in Citrus bioflavanoids
1/28/07: same
1/9/08: sharp decrease from 455 g
</t>
        </r>
      </text>
    </comment>
    <comment ref="DG113" authorId="0">
      <text>
        <r>
          <rPr>
            <sz val="8"/>
            <color indexed="8"/>
            <rFont val="Arial"/>
            <family val="1"/>
          </rPr>
          <t>1/11/06: same
1/26/07: same
1/9/08: same</t>
        </r>
      </text>
    </comment>
    <comment ref="DI113" authorId="0">
      <text>
        <r>
          <rPr>
            <sz val="8"/>
            <color indexed="8"/>
            <rFont val="Arial"/>
            <family val="1"/>
          </rPr>
          <t>1/11/06: same
1/26/07: same
1/9/08: same</t>
        </r>
      </text>
    </comment>
    <comment ref="DT113" authorId="0">
      <text>
        <r>
          <rPr>
            <sz val="8"/>
            <color indexed="8"/>
            <rFont val="Arial"/>
            <family val="1"/>
          </rPr>
          <t>1/11/06: same
1/28/07: same
1/9/08: same</t>
        </r>
      </text>
    </comment>
    <comment ref="DU113" authorId="0">
      <text>
        <r>
          <rPr>
            <sz val="8"/>
            <color indexed="8"/>
            <rFont val="Arial"/>
            <family val="1"/>
          </rPr>
          <t>1/1/05: new constituent
1/11/06: same
1/28/07: same + [from perilla leaf extract]
1/9/08: same</t>
        </r>
      </text>
    </comment>
    <comment ref="DV113" authorId="0">
      <text>
        <r>
          <rPr>
            <sz val="8"/>
            <color indexed="8"/>
            <rFont val="Arial"/>
            <family val="1"/>
          </rPr>
          <t xml:space="preserve">1/11/06: same
1/28/07: same
1/9/08: same
</t>
        </r>
      </text>
    </comment>
    <comment ref="DX113" authorId="0">
      <text>
        <r>
          <rPr>
            <sz val="8"/>
            <color indexed="8"/>
            <rFont val="Arial"/>
            <family val="1"/>
          </rPr>
          <t>1/1/05: no breakdown
1/11/06: breakdown oxide, citrate, glycinate, taurinae, arginate, ascorbate.
1/26/07: Mg Oxide incr from 260.96; others same
1/9/08: same</t>
        </r>
      </text>
    </comment>
    <comment ref="DY113" authorId="0">
      <text>
        <r>
          <rPr>
            <sz val="8"/>
            <color indexed="8"/>
            <rFont val="Arial"/>
            <family val="1"/>
          </rPr>
          <t>1/1/05: reduced amt; gluconate
1/11/06: same
1/26/07: same
1/9/08: same</t>
        </r>
      </text>
    </comment>
    <comment ref="ED113" authorId="0">
      <text>
        <r>
          <rPr>
            <sz val="8"/>
            <color indexed="8"/>
            <rFont val="Arial"/>
            <family val="1"/>
          </rPr>
          <t xml:space="preserve">1/11/06: same
1/26/07: same
1/9/08: same
</t>
        </r>
      </text>
    </comment>
    <comment ref="EK113" authorId="0">
      <text>
        <r>
          <rPr>
            <sz val="8"/>
            <color indexed="8"/>
            <rFont val="Arial"/>
            <family val="1"/>
          </rPr>
          <t>1/1/05: new constituent
1/11/06: polyphenols listed separately
1/28/07: same
1/15/08: same</t>
        </r>
      </text>
    </comment>
    <comment ref="EP113" authorId="0">
      <text>
        <r>
          <rPr>
            <sz val="8"/>
            <color indexed="8"/>
            <rFont val="Arial"/>
            <family val="1"/>
          </rPr>
          <t xml:space="preserve">1/11/06: same
1/26/07: same
1/08: deleted from formulation
</t>
        </r>
      </text>
    </comment>
    <comment ref="EU113" authorId="0">
      <text>
        <r>
          <rPr>
            <sz val="8"/>
            <color indexed="8"/>
            <rFont val="Arial"/>
            <family val="1"/>
          </rPr>
          <t>1/11/06: same (from soy)
1/26/07: same
1/9/08: same</t>
        </r>
      </text>
    </comment>
    <comment ref="FC113" authorId="0">
      <text>
        <r>
          <rPr>
            <sz val="8"/>
            <color indexed="8"/>
            <rFont val="Arial"/>
            <family val="1"/>
          </rPr>
          <t xml:space="preserve">1/11/06: green tea ext, olive juice ext, grape extr – totals
1/28/07: %incr on green tea; same for olive juice extr &amp; grape extr
1/9/08: % incr on olive juice + </t>
        </r>
        <r>
          <rPr>
            <sz val="8"/>
            <color indexed="8"/>
            <rFont val="Arial"/>
            <family val="2"/>
          </rPr>
          <t xml:space="preserve">addition of cocoa polyphenols
</t>
        </r>
      </text>
    </comment>
    <comment ref="FD113" authorId="0">
      <text>
        <r>
          <rPr>
            <sz val="8"/>
            <rFont val="Arial"/>
            <family val="2"/>
          </rPr>
          <t>1/28/07: standardized to 30% Punicalagins (25.5mg)
1/9/08: same</t>
        </r>
      </text>
    </comment>
    <comment ref="FE113" authorId="0">
      <text>
        <r>
          <rPr>
            <sz val="8"/>
            <color indexed="8"/>
            <rFont val="Arial"/>
            <family val="1"/>
          </rPr>
          <t>1/1/05: all chloride;
1/11/06: same; 1/26/07: same
1/13/08: same</t>
        </r>
      </text>
    </comment>
    <comment ref="FH113" authorId="0">
      <text>
        <r>
          <rPr>
            <sz val="8"/>
            <color indexed="8"/>
            <rFont val="Arial"/>
            <family val="1"/>
          </rPr>
          <t>1/1/05: grapeseed extract (Leucoselect 95% proan) + grape extract (Biovin) 95% proanth;
1/11/06: same for grapeseed; grape extr 75% of proanthocyanidins are polyphenols totalled elsewhere.
1/28/07: same for grpsd ext &amp; grap extr
1/9/08: same</t>
        </r>
      </text>
    </comment>
    <comment ref="FY113" authorId="0">
      <text>
        <r>
          <rPr>
            <sz val="8"/>
            <color indexed="8"/>
            <rFont val="Arial"/>
            <family val="1"/>
          </rPr>
          <t xml:space="preserve">1/11/06: same
1/26/07: same (per mag)
1/9/08: same
</t>
        </r>
      </text>
    </comment>
    <comment ref="FZ113" authorId="0">
      <text>
        <r>
          <rPr>
            <sz val="8"/>
            <color indexed="8"/>
            <rFont val="Arial"/>
            <family val="1"/>
          </rPr>
          <t>1/11/06: same
1/26/07: same (per web)
1/9/08: same</t>
        </r>
      </text>
    </comment>
    <comment ref="GA113" authorId="0">
      <text>
        <r>
          <rPr>
            <sz val="8"/>
            <color indexed="8"/>
            <rFont val="Arial"/>
            <family val="1"/>
          </rPr>
          <t>1/11/06: same
1/26/07: same (per web)
1/9/08: same</t>
        </r>
      </text>
    </comment>
    <comment ref="GC113" authorId="0">
      <text>
        <r>
          <rPr>
            <sz val="8"/>
            <color indexed="8"/>
            <rFont val="Arial"/>
            <family val="1"/>
          </rPr>
          <t>1/1/05: new constituent
1/11/06: same
1/28/07: same
1/10/08: same</t>
        </r>
      </text>
    </comment>
    <comment ref="GG113" authorId="0">
      <text>
        <r>
          <rPr>
            <sz val="8"/>
            <color indexed="8"/>
            <rFont val="Arial"/>
            <family val="1"/>
          </rPr>
          <t>1/1/05: from Milk Thistle 
1/11/06: same
1/28/07: same
1/10/08: same</t>
        </r>
      </text>
    </comment>
    <comment ref="GM113" authorId="0">
      <text>
        <r>
          <rPr>
            <sz val="8"/>
            <color indexed="8"/>
            <rFont val="Arial"/>
            <family val="1"/>
          </rPr>
          <t xml:space="preserve">1/11/06: same
1/26/07: same
1/10/08: reduced from 500mg/9
</t>
        </r>
      </text>
    </comment>
    <comment ref="GO113" authorId="0">
      <text>
        <r>
          <rPr>
            <sz val="8"/>
            <color indexed="8"/>
            <rFont val="Arial"/>
            <family val="1"/>
          </rPr>
          <t xml:space="preserve">1/11/06: ok
1/26/07: same
1/08: deleted from formulation
</t>
        </r>
      </text>
    </comment>
    <comment ref="GR113" authorId="0">
      <text>
        <r>
          <rPr>
            <sz val="8"/>
            <color indexed="8"/>
            <rFont val="Arial"/>
            <family val="1"/>
          </rPr>
          <t>1/11/06: same
1/26/07: same
1/10/08: same</t>
        </r>
      </text>
    </comment>
    <comment ref="GX113" authorId="0">
      <text>
        <r>
          <rPr>
            <sz val="8"/>
            <color indexed="8"/>
            <rFont val="Arial"/>
            <family val="1"/>
          </rPr>
          <t xml:space="preserve">1/11/06: revision of LEF info
1/25/07: same for #935
1/10/08: reduction from 4000IU
</t>
        </r>
      </text>
    </comment>
    <comment ref="GZ113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HA113" authorId="0">
      <text>
        <r>
          <rPr>
            <sz val="8"/>
            <color indexed="8"/>
            <rFont val="Arial"/>
            <family val="1"/>
          </rPr>
          <t xml:space="preserve">1/11/06: same
1/25/07: same; note as supplying 2 mg riboflavin 5' phosphate coenzyme
1/10/08: same
</t>
        </r>
      </text>
    </comment>
    <comment ref="HB113" authorId="0">
      <text>
        <r>
          <rPr>
            <sz val="8"/>
            <color indexed="8"/>
            <rFont val="Arial"/>
            <family val="1"/>
          </rPr>
          <t>1/1/05: new amt
1/11/06: correction;
1/25/07: detail per magazine 
1/10/08: same</t>
        </r>
      </text>
    </comment>
    <comment ref="HC113" authorId="0">
      <text>
        <r>
          <rPr>
            <sz val="8"/>
            <color indexed="8"/>
            <rFont val="Arial"/>
            <family val="1"/>
          </rPr>
          <t>1/1/05: new amt
1/11/06: niacinimide and niacinimide ascorbate w/o breakdown provided
1/25/07: same
1/10/08: same</t>
        </r>
      </text>
    </comment>
    <comment ref="HD113" authorId="0">
      <text>
        <r>
          <rPr>
            <sz val="8"/>
            <color indexed="8"/>
            <rFont val="Arial"/>
            <family val="1"/>
          </rPr>
          <t xml:space="preserve">1/11/06: same
1/25/07: same, per 2/07 mag
1/10/08: same
</t>
        </r>
      </text>
    </comment>
    <comment ref="HE113" authorId="0">
      <text>
        <r>
          <rPr>
            <sz val="8"/>
            <color indexed="8"/>
            <rFont val="Arial"/>
            <family val="1"/>
          </rPr>
          <t>1/11/06: same
1/25/07: same, per 2/07 mag
1/10/08: same</t>
        </r>
      </text>
    </comment>
    <comment ref="HF113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HH113" authorId="0">
      <text>
        <r>
          <rPr>
            <sz val="8"/>
            <color indexed="8"/>
            <rFont val="Arial"/>
            <family val="1"/>
          </rPr>
          <t>1/11/06: same
1/25/07: same
1/10/08: same</t>
        </r>
      </text>
    </comment>
    <comment ref="HI113" authorId="0">
      <text>
        <r>
          <rPr>
            <sz val="8"/>
            <color indexed="8"/>
            <rFont val="Arial"/>
            <family val="1"/>
          </rPr>
          <t xml:space="preserve">1/11/06: corrected info
1/25/07: same, per 2/07 mag
1/10/08: same
</t>
        </r>
      </text>
    </comment>
    <comment ref="HJ113" authorId="0">
      <text>
        <r>
          <rPr>
            <sz val="8"/>
            <color indexed="8"/>
            <rFont val="Arial"/>
            <family val="1"/>
          </rPr>
          <t xml:space="preserve">1/11/06: corrected info
1/25/07: same, per 2/07 mag
1/10/08: same
</t>
        </r>
      </text>
    </comment>
    <comment ref="HL113" authorId="0">
      <text>
        <r>
          <rPr>
            <sz val="8"/>
            <color indexed="8"/>
            <rFont val="Arial"/>
            <family val="1"/>
          </rPr>
          <t xml:space="preserve">1/11/06: corrected info
1/25/07: same, per 2/07 mag
1/10/08: same
</t>
        </r>
      </text>
    </comment>
    <comment ref="HM113" authorId="0">
      <text>
        <r>
          <rPr>
            <sz val="8"/>
            <color indexed="8"/>
            <rFont val="Arial"/>
            <family val="1"/>
          </rPr>
          <t>1/1/05: reduced from 2605mg
1/11/06: same
1/25/07: same
1/10/08: same</t>
        </r>
      </text>
    </comment>
    <comment ref="HN113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HO113" authorId="0">
      <text>
        <r>
          <rPr>
            <sz val="8"/>
            <color indexed="8"/>
            <rFont val="Arial"/>
            <family val="1"/>
          </rPr>
          <t>1/1/05: incr from 400 IU
1/11/06: same
1/25/07: same
1/10/08: same</t>
        </r>
      </text>
    </comment>
    <comment ref="HP113" authorId="0">
      <text>
        <r>
          <rPr>
            <sz val="8"/>
            <color indexed="8"/>
            <rFont val="Arial"/>
            <family val="1"/>
          </rPr>
          <t xml:space="preserve">1/11/06: same
1/25/07: same
1/10/08: same
</t>
        </r>
      </text>
    </comment>
    <comment ref="IH113" authorId="0">
      <text>
        <r>
          <rPr>
            <sz val="8"/>
            <color indexed="8"/>
            <rFont val="Arial"/>
            <family val="1"/>
          </rPr>
          <t>1/1/05: new breakdown of lutein complex &amp; incr from 75mg
1/11/06: same
1/28/07 same
1/10/08: same</t>
        </r>
      </text>
    </comment>
    <comment ref="II113" authorId="0">
      <text>
        <r>
          <rPr>
            <sz val="8"/>
            <color indexed="8"/>
            <rFont val="Arial"/>
            <family val="1"/>
          </rPr>
          <t>1/1/05: no breakdown
1/11/06: breakdown: methionate &amp;</t>
        </r>
        <r>
          <rPr>
            <b/>
            <sz val="8"/>
            <color indexed="8"/>
            <rFont val="Arial"/>
            <family val="1"/>
          </rPr>
          <t xml:space="preserve"> </t>
        </r>
        <r>
          <rPr>
            <sz val="8"/>
            <color indexed="8"/>
            <rFont val="Arial"/>
            <family val="1"/>
          </rPr>
          <t>succinate
1/26/07: same
1/13/08: same</t>
        </r>
      </text>
    </comment>
    <comment ref="A114" authorId="0">
      <text>
        <r>
          <rPr>
            <b/>
            <sz val="8"/>
            <color indexed="8"/>
            <rFont val="Arial"/>
            <family val="1"/>
          </rPr>
          <t xml:space="preserve">1/11/06: FDA required changes (appears to be labeling only)
</t>
        </r>
      </text>
    </comment>
    <comment ref="A115" authorId="0">
      <text>
        <r>
          <rPr>
            <sz val="10"/>
            <rFont val="Arial"/>
            <family val="2"/>
          </rPr>
          <t>7/7/06: partial replacement for Natural Growth Horm Releasing caps</t>
        </r>
      </text>
    </comment>
    <comment ref="A116" authorId="0">
      <text>
        <r>
          <rPr>
            <sz val="10"/>
            <rFont val="Arial"/>
            <family val="2"/>
          </rPr>
          <t>7/7/06: partial replacement for Natural Growth Horm Releasing caps</t>
        </r>
      </text>
    </comment>
    <comment ref="E118" authorId="0">
      <text>
        <r>
          <rPr>
            <b/>
            <sz val="8"/>
            <color indexed="8"/>
            <rFont val="Arial"/>
            <family val="1"/>
          </rPr>
          <t xml:space="preserve">3/06: Paul taking most nights also
11/11/06: added Nov for Kitty only at HS
10/07: replaced w/ Natural Stress Relief
</t>
        </r>
      </text>
    </comment>
    <comment ref="E121" authorId="0">
      <text>
        <r>
          <rPr>
            <sz val="8"/>
            <rFont val="Arial"/>
            <family val="2"/>
          </rPr>
          <t>2/5/07: decr from 10gr nominal w/ move to 1 meal daily w/ 1 meal cocktail</t>
        </r>
      </text>
    </comment>
    <comment ref="DT121" authorId="0">
      <text>
        <r>
          <rPr>
            <b/>
            <sz val="8"/>
            <color indexed="8"/>
            <rFont val="Arial"/>
            <family val="1"/>
          </rPr>
          <t>4/27/04: via spinach powder &amp; lutein complex</t>
        </r>
      </text>
    </comment>
    <comment ref="DV121" authorId="0">
      <text>
        <r>
          <rPr>
            <b/>
            <sz val="8"/>
            <color indexed="8"/>
            <rFont val="Arial"/>
            <family val="1"/>
          </rPr>
          <t>4/27/04: from 0.1% Xanthophyll complex</t>
        </r>
      </text>
    </comment>
    <comment ref="IH121" authorId="0">
      <text>
        <r>
          <rPr>
            <b/>
            <sz val="8"/>
            <color indexed="8"/>
            <rFont val="Arial"/>
            <family val="1"/>
          </rPr>
          <t>1/1/05: OK: via spinach powder &amp; lutein complex</t>
        </r>
      </text>
    </comment>
    <comment ref="E122" authorId="0">
      <text>
        <r>
          <rPr>
            <sz val="8"/>
            <rFont val="Arial"/>
            <family val="2"/>
          </rPr>
          <t>2/5/07: decr from 10gr nominal w/ move to 1 meal daily w/ 1 meal cocktail</t>
        </r>
      </text>
    </comment>
    <comment ref="DT122" authorId="0">
      <text>
        <r>
          <rPr>
            <b/>
            <sz val="8"/>
            <color indexed="8"/>
            <rFont val="Arial"/>
            <family val="1"/>
          </rPr>
          <t>4/27/04: via spinach powder &amp; lutein complex</t>
        </r>
      </text>
    </comment>
    <comment ref="DV122" authorId="0">
      <text>
        <r>
          <rPr>
            <b/>
            <sz val="8"/>
            <color indexed="8"/>
            <rFont val="Arial"/>
            <family val="1"/>
          </rPr>
          <t>4/27/04: from 0.1% Xanthophyll complex</t>
        </r>
      </text>
    </comment>
    <comment ref="IH122" authorId="0">
      <text>
        <r>
          <rPr>
            <b/>
            <sz val="8"/>
            <color indexed="8"/>
            <rFont val="Arial"/>
            <family val="1"/>
          </rPr>
          <t>1/1/05: OK: via spinach powder &amp; lutein complex</t>
        </r>
      </text>
    </comment>
    <comment ref="A123" authorId="0">
      <text>
        <r>
          <rPr>
            <sz val="8"/>
            <rFont val="Arial"/>
            <family val="2"/>
          </rPr>
          <t>1/30/07: added  Nov 2006</t>
        </r>
      </text>
    </comment>
    <comment ref="DX123" authorId="0">
      <text>
        <r>
          <rPr>
            <sz val="8"/>
            <rFont val="Arial"/>
            <family val="2"/>
          </rPr>
          <t>1/20/07 as magnesioum citrate</t>
        </r>
      </text>
    </comment>
    <comment ref="A124" authorId="0">
      <text>
        <r>
          <rPr>
            <b/>
            <sz val="8"/>
            <color indexed="8"/>
            <rFont val="Arial"/>
            <family val="1"/>
          </rPr>
          <t>7/1/05: 61% elemental magnesium</t>
        </r>
      </text>
    </comment>
    <comment ref="E124" authorId="0">
      <text>
        <r>
          <rPr>
            <sz val="8"/>
            <rFont val="Arial"/>
            <family val="2"/>
          </rPr>
          <t>10/1/06 decreased from 500mg nom; to obtain different version</t>
        </r>
      </text>
    </comment>
    <comment ref="DX124" authorId="0">
      <text>
        <r>
          <rPr>
            <b/>
            <sz val="8"/>
            <color indexed="8"/>
            <rFont val="Arial"/>
            <family val="1"/>
          </rPr>
          <t>4/27/04: from MgO</t>
        </r>
      </text>
    </comment>
    <comment ref="A125" authorId="0">
      <text>
        <r>
          <rPr>
            <b/>
            <sz val="8"/>
            <color indexed="8"/>
            <rFont val="Arial"/>
            <family val="1"/>
          </rPr>
          <t>7/5/05: 61% elemental magnesium</t>
        </r>
      </text>
    </comment>
    <comment ref="E125" authorId="0">
      <text>
        <r>
          <rPr>
            <sz val="8"/>
            <color indexed="8"/>
            <rFont val="Arial"/>
            <family val="2"/>
          </rPr>
          <t xml:space="preserve">10/1/06 decreased from 500mg nom; to obtain different version
</t>
        </r>
        <r>
          <rPr>
            <sz val="8"/>
            <rFont val="Arial"/>
            <family val="2"/>
          </rPr>
          <t>10/14/06 slowly adding back full mix
8/10/06 Deleted from own meal cocktail, thought to be cause of diarrhea</t>
        </r>
      </text>
    </comment>
    <comment ref="DX125" authorId="0">
      <text>
        <r>
          <rPr>
            <b/>
            <sz val="8"/>
            <color indexed="8"/>
            <rFont val="Arial"/>
            <family val="1"/>
          </rPr>
          <t>8/10/06 Deleted from own meal cocktail mix.
4/27/04: from MgO</t>
        </r>
      </text>
    </comment>
    <comment ref="A127" authorId="0">
      <text>
        <r>
          <rPr>
            <sz val="8"/>
            <rFont val="Arial"/>
            <family val="2"/>
          </rPr>
          <t>2/1/07: no reorder; reevaluate usage</t>
        </r>
      </text>
    </comment>
    <comment ref="E127" authorId="0">
      <text>
        <r>
          <rPr>
            <sz val="8"/>
            <rFont val="Arial"/>
            <family val="2"/>
          </rPr>
          <t>11/17/06: reduced from 2 daily
2/3/07: no reorder; to re-evaluate</t>
        </r>
      </text>
    </comment>
    <comment ref="A128" authorId="0">
      <text>
        <r>
          <rPr>
            <b/>
            <sz val="8"/>
            <color indexed="8"/>
            <rFont val="Arial"/>
            <family val="1"/>
          </rPr>
          <t>5/25/07: restarted w/ old stock; 1/2/05: replaces "Super";  incomplete breakdown; "other polyphenols"</t>
        </r>
      </text>
    </comment>
    <comment ref="FC128" authorId="0">
      <text>
        <r>
          <rPr>
            <sz val="8"/>
            <rFont val="Arial"/>
            <family val="2"/>
          </rPr>
          <t>5/25/07: listed as “other”</t>
        </r>
      </text>
    </comment>
    <comment ref="E129" authorId="0">
      <text>
        <r>
          <rPr>
            <sz val="8"/>
            <rFont val="Arial"/>
            <family val="2"/>
          </rPr>
          <t>5/30/08: Trial ramp up; 1 HS &amp; 1NF
6/08/08: HS dose deleted;
6/17/08: incr w/ 1NF/F and HS</t>
        </r>
      </text>
    </comment>
    <comment ref="A130" authorId="0">
      <text>
        <r>
          <rPr>
            <sz val="8"/>
            <rFont val="Arial"/>
            <family val="2"/>
          </rPr>
          <t>1/16/08: replacing Nat Sleep #277</t>
        </r>
      </text>
    </comment>
    <comment ref="A131" authorId="0">
      <text>
        <r>
          <rPr>
            <sz val="8"/>
            <rFont val="Arial"/>
            <family val="2"/>
          </rPr>
          <t>1/16/08: replacing Nat Sleep #277</t>
        </r>
      </text>
    </comment>
    <comment ref="E131" authorId="0">
      <text>
        <r>
          <rPr>
            <sz val="8"/>
            <rFont val="Arial"/>
            <family val="2"/>
          </rPr>
          <t>5/30/08: Trial ramp up; 1HS</t>
        </r>
      </text>
    </comment>
    <comment ref="E132" authorId="0">
      <text>
        <r>
          <rPr>
            <sz val="8"/>
            <rFont val="Arial"/>
            <family val="2"/>
          </rPr>
          <t>6/8/08: 10 for full 15 HS dose;
6/17/08: 18mg full HS dose</t>
        </r>
      </text>
    </comment>
    <comment ref="A133" authorId="0">
      <text>
        <r>
          <rPr>
            <sz val="8"/>
            <rFont val="Arial"/>
            <family val="2"/>
          </rPr>
          <t xml:space="preserve">11/07: added </t>
        </r>
      </text>
    </comment>
    <comment ref="Z133" authorId="0">
      <text>
        <r>
          <rPr>
            <sz val="8"/>
            <rFont val="Arial"/>
            <family val="2"/>
          </rPr>
          <t>11/05/07: TransAct® activated (cytokinin) barley sprout powder</t>
        </r>
      </text>
    </comment>
    <comment ref="AB133" authorId="0">
      <text>
        <r>
          <rPr>
            <sz val="8"/>
            <rFont val="Arial"/>
            <family val="2"/>
          </rPr>
          <t xml:space="preserve">11/5/07: containing Viscofiber® oat beta-glucan concentrate and Nutrim® oat beta-glucan bran
</t>
        </r>
      </text>
    </comment>
    <comment ref="A134" authorId="0">
      <text>
        <r>
          <rPr>
            <sz val="8"/>
            <rFont val="Arial"/>
            <family val="2"/>
          </rPr>
          <t>added Nov 2006</t>
        </r>
      </text>
    </comment>
    <comment ref="E135" authorId="0">
      <text>
        <r>
          <rPr>
            <b/>
            <sz val="8"/>
            <color indexed="8"/>
            <rFont val="Arial"/>
            <family val="1"/>
          </rPr>
          <t>1</t>
        </r>
        <r>
          <rPr>
            <sz val="8"/>
            <color indexed="8"/>
            <rFont val="Arial"/>
            <family val="1"/>
          </rPr>
          <t xml:space="preserve">/11/06: chngd to 5 mg tabs
</t>
        </r>
        <r>
          <rPr>
            <b/>
            <sz val="8"/>
            <color indexed="8"/>
            <rFont val="Arial"/>
            <family val="1"/>
          </rPr>
          <t>1/2/05: decr from 2 mg</t>
        </r>
      </text>
    </comment>
    <comment ref="HK135" authorId="0">
      <text>
        <r>
          <rPr>
            <b/>
            <sz val="8"/>
            <color indexed="8"/>
            <rFont val="Arial"/>
            <family val="1"/>
          </rPr>
          <t xml:space="preserve">1/2/05: using mg units for consistency
</t>
        </r>
      </text>
    </comment>
    <comment ref="A136" authorId="0">
      <text>
        <r>
          <rPr>
            <b/>
            <sz val="8"/>
            <color indexed="8"/>
            <rFont val="Arial"/>
            <family val="1"/>
          </rPr>
          <t xml:space="preserve">1/1/05: new product
</t>
        </r>
      </text>
    </comment>
    <comment ref="E136" authorId="0">
      <text>
        <r>
          <rPr>
            <b/>
            <sz val="8"/>
            <color indexed="8"/>
            <rFont val="Arial"/>
            <family val="1"/>
          </rPr>
          <t>6/8/07: temp reduc from 4 for total pill qty;
7/2/07: resume qty</t>
        </r>
      </text>
    </comment>
    <comment ref="A137" authorId="0">
      <text>
        <r>
          <rPr>
            <b/>
            <sz val="8"/>
            <color indexed="8"/>
            <rFont val="Arial"/>
            <family val="1"/>
          </rPr>
          <t xml:space="preserve">1/1/05: new product
</t>
        </r>
      </text>
    </comment>
    <comment ref="E138" authorId="0">
      <text>
        <r>
          <rPr>
            <sz val="8"/>
            <rFont val="Arial"/>
            <family val="2"/>
          </rPr>
          <t xml:space="preserve">2/5/07: reduction from 6 daily
</t>
        </r>
        <r>
          <rPr>
            <sz val="8"/>
            <color indexed="8"/>
            <rFont val="Arial"/>
            <family val="2"/>
          </rPr>
          <t>6/8/07: reduced from 3; reduce of total pill qty</t>
        </r>
      </text>
    </comment>
    <comment ref="E139" authorId="0">
      <text>
        <r>
          <rPr>
            <sz val="8"/>
            <rFont val="Arial"/>
            <family val="2"/>
          </rPr>
          <t>2/5/07: reduction from 4 daily</t>
        </r>
      </text>
    </comment>
    <comment ref="E140" authorId="0">
      <text>
        <r>
          <rPr>
            <sz val="10"/>
            <rFont val="Arial"/>
            <family val="2"/>
          </rPr>
          <t>11/17/06: reduced from 2 daily</t>
        </r>
      </text>
    </comment>
    <comment ref="A141" authorId="0">
      <text>
        <r>
          <rPr>
            <sz val="10"/>
            <rFont val="Arial"/>
            <family val="2"/>
          </rPr>
          <t>7/6/06 Added</t>
        </r>
      </text>
    </comment>
    <comment ref="E141" authorId="0">
      <text>
        <r>
          <rPr>
            <b/>
            <sz val="8"/>
            <color indexed="8"/>
            <rFont val="Arial"/>
            <family val="1"/>
          </rPr>
          <t>2/3/07: 2 “no food”
6/8/07: temp reduc from 2 for total pill qty;
7/2/07: resume qty</t>
        </r>
      </text>
    </comment>
    <comment ref="FC141" authorId="0">
      <text>
        <r>
          <rPr>
            <sz val="8"/>
            <rFont val="Arial"/>
            <family val="2"/>
          </rPr>
          <t>1/15/08: essentially same as prod#904; Non-GMO Extract [std. to 85% Total Phenolics
as Gallic Acid Equivalents (127.5 mg)]</t>
        </r>
      </text>
    </comment>
    <comment ref="FD141" authorId="0">
      <text>
        <r>
          <rPr>
            <sz val="8"/>
            <rFont val="Arial"/>
            <family val="2"/>
          </rPr>
          <t>1/15/08: [std. to 30% Punicalagins (15 mg)]</t>
        </r>
      </text>
    </comment>
    <comment ref="ID141" authorId="0">
      <text>
        <r>
          <rPr>
            <sz val="8"/>
            <rFont val="Arial"/>
            <family val="2"/>
          </rPr>
          <t>1/15/08: CVH 15 (biologically active peptide)</t>
        </r>
      </text>
    </comment>
    <comment ref="A142" authorId="0">
      <text>
        <r>
          <rPr>
            <sz val="8"/>
            <rFont val="Arial"/>
            <family val="2"/>
          </rPr>
          <t>7/7/06: new formulation; new #</t>
        </r>
      </text>
    </comment>
    <comment ref="E142" authorId="0">
      <text>
        <r>
          <rPr>
            <b/>
            <sz val="8"/>
            <color indexed="8"/>
            <rFont val="Arial"/>
            <family val="1"/>
          </rPr>
          <t xml:space="preserve">7/06: added for Paul
</t>
        </r>
      </text>
    </comment>
    <comment ref="AF142" authorId="0">
      <text>
        <r>
          <rPr>
            <sz val="10"/>
            <rFont val="Arial"/>
            <family val="2"/>
          </rPr>
          <t>7/7/06: standardized to 2.5% triterpene glycosides (1 mg)</t>
        </r>
      </text>
    </comment>
    <comment ref="AH142" authorId="0">
      <text>
        <r>
          <rPr>
            <sz val="8"/>
            <rFont val="Arial"/>
            <family val="2"/>
          </rPr>
          <t>7/7/06: standardized to 4% glucosinolates (12 mg)</t>
        </r>
      </text>
    </comment>
    <comment ref="BR142" authorId="0">
      <text>
        <r>
          <rPr>
            <sz val="8"/>
            <rFont val="Arial"/>
            <family val="2"/>
          </rPr>
          <t>7/7/06: std. to 1% ligustilide (.25 mg)]</t>
        </r>
      </text>
    </comment>
    <comment ref="EJ142" authorId="0">
      <text>
        <r>
          <rPr>
            <sz val="8"/>
            <rFont val="Arial"/>
            <family val="2"/>
          </rPr>
          <t>7/7/06: standardized to 90% Hydroxymatairesinol potassium acetate complex (27 mg)</t>
        </r>
      </text>
    </comment>
    <comment ref="FD142" authorId="0">
      <text>
        <r>
          <rPr>
            <sz val="8"/>
            <rFont val="Arial"/>
            <family val="2"/>
          </rPr>
          <t>7/7/06: standardized to 30% Punicalagins (60 mg)</t>
        </r>
      </text>
    </comment>
    <comment ref="IA142" authorId="0">
      <text>
        <r>
          <rPr>
            <sz val="10"/>
            <rFont val="Arial"/>
            <family val="2"/>
          </rPr>
          <t>7/7/06: std. to 5% vitexicarpin (1 mg)</t>
        </r>
      </text>
    </comment>
    <comment ref="A143" authorId="0">
      <text>
        <r>
          <rPr>
            <sz val="8"/>
            <rFont val="Arial"/>
            <family val="2"/>
          </rPr>
          <t>7/7/06: new formulation; new #</t>
        </r>
      </text>
    </comment>
    <comment ref="E143" authorId="0">
      <text>
        <r>
          <rPr>
            <b/>
            <sz val="8"/>
            <color indexed="8"/>
            <rFont val="Arial"/>
            <family val="1"/>
          </rPr>
          <t xml:space="preserve">1/15/06: 1 @ 1 meal 2 @ another
2/3/07: since 1 meal only, taken Nf &amp; F 
</t>
        </r>
      </text>
    </comment>
    <comment ref="AF143" authorId="0">
      <text>
        <r>
          <rPr>
            <sz val="10"/>
            <rFont val="Arial"/>
            <family val="2"/>
          </rPr>
          <t>7/7/06: standardized to 2.5% triterpene glycosides (1 mg)</t>
        </r>
      </text>
    </comment>
    <comment ref="AH143" authorId="0">
      <text>
        <r>
          <rPr>
            <sz val="8"/>
            <rFont val="Arial"/>
            <family val="2"/>
          </rPr>
          <t>7/7/06: standardized to 4% glucosinolates (12 mg)</t>
        </r>
      </text>
    </comment>
    <comment ref="BR143" authorId="0">
      <text>
        <r>
          <rPr>
            <sz val="10"/>
            <rFont val="Bitstream Vera Sans"/>
            <family val="2"/>
          </rPr>
          <t xml:space="preserve"> </t>
        </r>
        <r>
          <rPr>
            <sz val="10"/>
            <rFont val="Arial"/>
            <family val="2"/>
          </rPr>
          <t>l</t>
        </r>
        <r>
          <rPr>
            <sz val="8"/>
            <color indexed="8"/>
            <rFont val="Arial"/>
            <family val="2"/>
          </rPr>
          <t>7/7/06: std. to 1% ligustilide (.25 mg)]</t>
        </r>
      </text>
    </comment>
    <comment ref="EJ143" authorId="0">
      <text>
        <r>
          <rPr>
            <sz val="8"/>
            <rFont val="Arial"/>
            <family val="2"/>
          </rPr>
          <t>7/7/06: standardized to 90% Hydroxymatairesinol potassium acetate complex (27 mg)</t>
        </r>
      </text>
    </comment>
    <comment ref="FD143" authorId="0">
      <text>
        <r>
          <rPr>
            <sz val="8"/>
            <rFont val="Arial"/>
            <family val="2"/>
          </rPr>
          <t>7/7/06: standardized to 30% Punicalagins (60 mg)</t>
        </r>
      </text>
    </comment>
    <comment ref="IA143" authorId="0">
      <text>
        <r>
          <rPr>
            <sz val="10"/>
            <rFont val="Arial"/>
            <family val="2"/>
          </rPr>
          <t>7/7/06: std. to 5% vitexicarpin (1 mg)</t>
        </r>
      </text>
    </comment>
    <comment ref="E144" authorId="0">
      <text>
        <r>
          <rPr>
            <sz val="8"/>
            <rFont val="Arial"/>
            <family val="2"/>
          </rPr>
          <t>6/8/07: reduced from 3 – reduction of total qty; actual reduc in 9/07</t>
        </r>
      </text>
    </comment>
    <comment ref="E145" authorId="0">
      <text>
        <r>
          <rPr>
            <sz val="8"/>
            <rFont val="Arial"/>
            <family val="2"/>
          </rPr>
          <t>6/8/07: reduced from 3 – reduction of total qty</t>
        </r>
      </text>
    </comment>
    <comment ref="A146" authorId="0">
      <text>
        <r>
          <rPr>
            <sz val="8"/>
            <color indexed="8"/>
            <rFont val="Arial"/>
            <family val="1"/>
          </rPr>
          <t>10/12/05: product change
10/12/05: sterols and FFA not included in table
1/12/08: new formulation from #975</t>
        </r>
      </text>
    </comment>
    <comment ref="C146" authorId="0">
      <text>
        <r>
          <rPr>
            <sz val="8"/>
            <rFont val="Arial"/>
            <family val="2"/>
          </rPr>
          <t>2/5/07: old prod# 875
1/10/08: old #975</t>
        </r>
      </text>
    </comment>
    <comment ref="E146" authorId="0">
      <text>
        <r>
          <rPr>
            <b/>
            <sz val="8"/>
            <color indexed="8"/>
            <rFont val="Arial"/>
            <family val="1"/>
          </rPr>
          <t xml:space="preserve">1/15/06: 1 @ 1 meal 2 @ another
2/3/07: decr to 2 daily w/ food
</t>
        </r>
      </text>
    </comment>
    <comment ref="F146" authorId="0">
      <text>
        <r>
          <rPr>
            <sz val="8"/>
            <rFont val="Arial"/>
            <family val="2"/>
          </rPr>
          <t xml:space="preserve">2/5/07: new; (Boswellia serrata) extract (gum resin)[std to acetyl-11-keto-ß-boswellic acid (AKBA) minimum 30% (21 mg)]
1/12/08: same </t>
        </r>
      </text>
    </comment>
    <comment ref="AG146" authorId="0">
      <text>
        <r>
          <rPr>
            <sz val="8"/>
            <color indexed="8"/>
            <rFont val="Arial"/>
            <family val="1"/>
          </rPr>
          <t>4/25/04: as boron citrate/asparatate/glycinate)
2/5/07: same per capsule
1/10/08: same</t>
        </r>
      </text>
    </comment>
    <comment ref="AR146" authorId="0">
      <text>
        <r>
          <rPr>
            <sz val="8"/>
            <rFont val="Arial"/>
            <family val="2"/>
          </rPr>
          <t>2/5/07: same per capsule
1/10/08: same</t>
        </r>
      </text>
    </comment>
    <comment ref="DV146" authorId="0">
      <text>
        <r>
          <rPr>
            <sz val="8"/>
            <rFont val="Arial"/>
            <family val="2"/>
          </rPr>
          <t>2/5/07: same per capsule
1/10/08: same</t>
        </r>
      </text>
    </comment>
    <comment ref="EG146" authorId="0">
      <text>
        <r>
          <rPr>
            <sz val="8"/>
            <rFont val="Arial"/>
            <family val="2"/>
          </rPr>
          <t>2/5/07: same per capsule
1/10/08: same</t>
        </r>
      </text>
    </comment>
    <comment ref="EZ146" authorId="0">
      <text>
        <r>
          <rPr>
            <sz val="8"/>
            <rFont val="Arial"/>
            <family val="2"/>
          </rPr>
          <t>1/13/08: combining Pygeum &amp; assuming 25% phytosterol with Phytosterol complex at given 59%</t>
        </r>
      </text>
    </comment>
    <comment ref="FS146" authorId="0">
      <text>
        <r>
          <rPr>
            <sz val="8"/>
            <color indexed="8"/>
            <rFont val="Arial"/>
            <family val="1"/>
          </rPr>
          <t xml:space="preserve">1/2/05: units changed to mg
2/5/07: same total per capsule
1/10/08: same (not in magazine 2/2008 or all 2007)
</t>
        </r>
      </text>
    </comment>
    <comment ref="FV146" authorId="0">
      <text>
        <r>
          <rPr>
            <sz val="8"/>
            <color indexed="8"/>
            <rFont val="Arial"/>
            <family val="1"/>
          </rPr>
          <t xml:space="preserve">4/25/04: CO2 extract (seenoa repens) (berries)
2/5/07: same + [std to 85-90% FFA and sterols (275mg)]
1/12/08: same
</t>
        </r>
      </text>
    </comment>
    <comment ref="A147" authorId="0">
      <text>
        <r>
          <rPr>
            <sz val="8"/>
            <rFont val="Arial"/>
            <family val="2"/>
          </rPr>
          <t>1/08: Replaced w/ plain melatonin</t>
        </r>
      </text>
    </comment>
    <comment ref="E147" authorId="0">
      <text>
        <r>
          <rPr>
            <sz val="10"/>
            <rFont val="Arial"/>
            <family val="2"/>
          </rPr>
          <t>8/9/06 on HOLD</t>
        </r>
      </text>
    </comment>
    <comment ref="AJ147" authorId="0">
      <text>
        <r>
          <rPr>
            <sz val="8"/>
            <color indexed="8"/>
            <rFont val="Arial"/>
            <family val="1"/>
          </rPr>
          <t>4/27/04: as calcium citrate</t>
        </r>
      </text>
    </comment>
    <comment ref="DS148" authorId="0">
      <text>
        <r>
          <rPr>
            <sz val="8"/>
            <rFont val="Arial"/>
            <family val="2"/>
          </rPr>
          <t>10/07: Non-GMO
Full Spectrum 100% Extract (leaf)</t>
        </r>
      </text>
    </comment>
    <comment ref="E149" authorId="0">
      <text>
        <r>
          <rPr>
            <sz val="8"/>
            <rFont val="Arial"/>
            <family val="2"/>
          </rPr>
          <t>2/5/07: decr from 3 daily</t>
        </r>
      </text>
    </comment>
    <comment ref="EF149" authorId="0">
      <text>
        <r>
          <rPr>
            <b/>
            <sz val="8"/>
            <color indexed="8"/>
            <rFont val="Arial"/>
            <family val="1"/>
          </rPr>
          <t>equiv to 4000mg crude herb/2 caps</t>
        </r>
      </text>
    </comment>
    <comment ref="EF150" authorId="0">
      <text>
        <r>
          <rPr>
            <b/>
            <sz val="8"/>
            <color indexed="8"/>
            <rFont val="Arial"/>
            <family val="1"/>
          </rPr>
          <t>equiv to 4000mg crude herb/2 caps</t>
        </r>
      </text>
    </comment>
    <comment ref="DG151" authorId="0">
      <text>
        <r>
          <rPr>
            <b/>
            <sz val="8"/>
            <color indexed="8"/>
            <rFont val="Arial"/>
            <family val="1"/>
          </rPr>
          <t xml:space="preserve">1/2/05: from inositol nicotinate
</t>
        </r>
      </text>
    </comment>
    <comment ref="HB151" authorId="0">
      <text>
        <r>
          <rPr>
            <b/>
            <sz val="8"/>
            <color indexed="8"/>
            <rFont val="Arial"/>
            <family val="1"/>
          </rPr>
          <t xml:space="preserve">1/2/05: from inositol nicotinate
</t>
        </r>
      </text>
    </comment>
    <comment ref="A152" authorId="0">
      <text>
        <r>
          <rPr>
            <sz val="8"/>
            <color indexed="8"/>
            <rFont val="Arial"/>
            <family val="2"/>
          </rPr>
          <t>added Apr 2008 – used in Paul's smoothies; which Paul gets ~60% of each daily amt</t>
        </r>
      </text>
    </comment>
    <comment ref="EI152" authorId="0">
      <text>
        <r>
          <rPr>
            <sz val="8"/>
            <rFont val="Arial"/>
            <family val="2"/>
          </rPr>
          <t>4/7/08: 10:1 Extract; (Equates to 4000mg per 1/2 oz serving)</t>
        </r>
      </text>
    </comment>
    <comment ref="A153" authorId="0">
      <text>
        <r>
          <rPr>
            <sz val="8"/>
            <color indexed="8"/>
            <rFont val="Arial"/>
            <family val="2"/>
          </rPr>
          <t>added Apr 2008 – used in Paul's smoothies; which Kitty gets ~40 of each daily amt</t>
        </r>
      </text>
    </comment>
    <comment ref="EI153" authorId="0">
      <text>
        <r>
          <rPr>
            <sz val="8"/>
            <rFont val="Arial"/>
            <family val="2"/>
          </rPr>
          <t>4/7/08: 10:1 Extract; (Equates to 4000mg per 1/2 oz serving)</t>
        </r>
      </text>
    </comment>
    <comment ref="EM154" authorId="0">
      <text>
        <r>
          <rPr>
            <b/>
            <sz val="8"/>
            <color indexed="8"/>
            <rFont val="Arial"/>
            <family val="1"/>
          </rPr>
          <t xml:space="preserve">Yielding 35 mg carvcol per 45mg (1 capsule)
</t>
        </r>
      </text>
    </comment>
    <comment ref="EM155" authorId="0">
      <text>
        <r>
          <rPr>
            <b/>
            <sz val="8"/>
            <color indexed="8"/>
            <rFont val="Arial"/>
            <family val="1"/>
          </rPr>
          <t xml:space="preserve">Yielding 35 mg carvcol per 45mg (1 capsule)
</t>
        </r>
      </text>
    </comment>
    <comment ref="A156" authorId="0">
      <text>
        <r>
          <rPr>
            <sz val="8"/>
            <rFont val="Arial"/>
            <family val="2"/>
          </rPr>
          <t>2/1/07: no reorder; reevaluate usage
5/25/07: restart</t>
        </r>
      </text>
    </comment>
    <comment ref="E156" authorId="0">
      <text>
        <r>
          <rPr>
            <sz val="8"/>
            <rFont val="Arial"/>
            <family val="2"/>
          </rPr>
          <t>11/17/06: reduced from 2 daily
5/25/07: restart &amp; inc</t>
        </r>
      </text>
    </comment>
    <comment ref="A157" authorId="0">
      <text>
        <r>
          <rPr>
            <sz val="8"/>
            <rFont val="Arial"/>
            <family val="2"/>
          </rPr>
          <t>7/6/06: Elim w/ incr of chromium in LEF Mix &amp; Cinnulinin
2/5/07 restart Jan at old freq</t>
        </r>
      </text>
    </comment>
    <comment ref="AV157" authorId="0">
      <text>
        <r>
          <rPr>
            <b/>
            <sz val="8"/>
            <color indexed="8"/>
            <rFont val="Arial"/>
            <family val="1"/>
          </rPr>
          <t xml:space="preserve">1/13/06: as nicotinate-glycinate chelate
</t>
        </r>
      </text>
    </comment>
    <comment ref="BA157" authorId="0">
      <text>
        <r>
          <rPr>
            <b/>
            <sz val="8"/>
            <color indexed="8"/>
            <rFont val="Arial"/>
            <family val="1"/>
          </rPr>
          <t>1/13/06: as copper gluconate</t>
        </r>
      </text>
    </comment>
    <comment ref="DY157" authorId="0">
      <text>
        <r>
          <rPr>
            <b/>
            <sz val="8"/>
            <color indexed="8"/>
            <rFont val="Arial"/>
            <family val="1"/>
          </rPr>
          <t xml:space="preserve">1/13/06: as manganese sulfate
</t>
        </r>
      </text>
    </comment>
    <comment ref="ED157" authorId="0">
      <text>
        <r>
          <rPr>
            <b/>
            <sz val="8"/>
            <color indexed="8"/>
            <rFont val="Arial"/>
            <family val="1"/>
          </rPr>
          <t xml:space="preserve">1/13/06: as molybdenum sulfate
</t>
        </r>
      </text>
    </comment>
    <comment ref="GV157" authorId="0">
      <text>
        <r>
          <rPr>
            <b/>
            <sz val="8"/>
            <color indexed="8"/>
            <rFont val="Arial"/>
            <family val="1"/>
          </rPr>
          <t xml:space="preserve">1/13/06: as vanadyl sulfate
</t>
        </r>
      </text>
    </comment>
    <comment ref="II157" authorId="0">
      <text>
        <r>
          <rPr>
            <b/>
            <sz val="8"/>
            <color indexed="8"/>
            <rFont val="Arial"/>
            <family val="1"/>
          </rPr>
          <t xml:space="preserve">1/13/06: as zinc monomethionine [OptiZinc]
</t>
        </r>
      </text>
    </comment>
    <comment ref="A158" authorId="0">
      <text>
        <r>
          <rPr>
            <sz val="8"/>
            <color indexed="8"/>
            <rFont val="Arial"/>
            <family val="2"/>
          </rPr>
          <t>7/6/06: Elim w/ incr of chromium in LEF Mix &amp; Cinnulinin
2/5/07 restart Jan at old freq</t>
        </r>
      </text>
    </comment>
    <comment ref="AV158" authorId="0">
      <text>
        <r>
          <rPr>
            <b/>
            <sz val="8"/>
            <color indexed="8"/>
            <rFont val="Arial"/>
            <family val="1"/>
          </rPr>
          <t xml:space="preserve">1/13/06: as nicotinate-glycinate chelate
</t>
        </r>
      </text>
    </comment>
    <comment ref="BA158" authorId="0">
      <text>
        <r>
          <rPr>
            <b/>
            <sz val="8"/>
            <color indexed="8"/>
            <rFont val="Arial"/>
            <family val="1"/>
          </rPr>
          <t>1/13/06: as copper gluconate</t>
        </r>
      </text>
    </comment>
    <comment ref="DY158" authorId="0">
      <text>
        <r>
          <rPr>
            <b/>
            <sz val="8"/>
            <color indexed="8"/>
            <rFont val="Arial"/>
            <family val="1"/>
          </rPr>
          <t xml:space="preserve">1/13/06: as manganese sulfate
</t>
        </r>
      </text>
    </comment>
    <comment ref="ED158" authorId="0">
      <text>
        <r>
          <rPr>
            <b/>
            <sz val="8"/>
            <color indexed="8"/>
            <rFont val="Arial"/>
            <family val="1"/>
          </rPr>
          <t xml:space="preserve">1/13/06: as molybdenum sulfate
</t>
        </r>
      </text>
    </comment>
    <comment ref="GV158" authorId="0">
      <text>
        <r>
          <rPr>
            <b/>
            <sz val="8"/>
            <color indexed="8"/>
            <rFont val="Arial"/>
            <family val="1"/>
          </rPr>
          <t xml:space="preserve">1/13/06: as vanadyl sulfate
</t>
        </r>
      </text>
    </comment>
    <comment ref="II158" authorId="0">
      <text>
        <r>
          <rPr>
            <b/>
            <sz val="8"/>
            <color indexed="8"/>
            <rFont val="Arial"/>
            <family val="1"/>
          </rPr>
          <t xml:space="preserve">1/13/06: as zinc monomethionine [OptiZinc]
</t>
        </r>
      </text>
    </comment>
    <comment ref="E159" authorId="0">
      <text>
        <r>
          <rPr>
            <sz val="8"/>
            <color indexed="8"/>
            <rFont val="Arial"/>
            <family val="1"/>
          </rPr>
          <t>3/26/06: 1 each day + additional 1 every 3 days;
4/07: reduced to only every 3</t>
        </r>
        <r>
          <rPr>
            <vertAlign val="superscript"/>
            <sz val="8"/>
            <color indexed="8"/>
            <rFont val="Arial"/>
            <family val="1"/>
          </rPr>
          <t>rd</t>
        </r>
        <r>
          <rPr>
            <sz val="8"/>
            <color indexed="8"/>
            <rFont val="Arial"/>
            <family val="1"/>
          </rPr>
          <t xml:space="preserve"> day w/ addition of Carnosoothe;
4/11/08: incr to QOD </t>
        </r>
      </text>
    </comment>
    <comment ref="II159" authorId="0">
      <text>
        <r>
          <rPr>
            <sz val="8"/>
            <color indexed="8"/>
            <rFont val="Arial"/>
            <family val="1"/>
          </rPr>
          <t xml:space="preserve">5/21/04: from zinc methionate
</t>
        </r>
      </text>
    </comment>
    <comment ref="E160" authorId="0">
      <text>
        <r>
          <rPr>
            <sz val="8"/>
            <color indexed="8"/>
            <rFont val="Arial"/>
            <family val="1"/>
          </rPr>
          <t xml:space="preserve">3/26/06: 1 each day + additional 1 every 3 days;
4/07: reduced w/ addition of Carnosoothe;
</t>
        </r>
      </text>
    </comment>
    <comment ref="II160" authorId="0">
      <text>
        <r>
          <rPr>
            <sz val="8"/>
            <color indexed="8"/>
            <rFont val="Arial"/>
            <family val="1"/>
          </rPr>
          <t>5/21/04: from zinc methionate</t>
        </r>
      </text>
    </comment>
    <comment ref="A161" authorId="0">
      <text>
        <r>
          <rPr>
            <sz val="8"/>
            <rFont val="Arial"/>
            <family val="2"/>
          </rPr>
          <t>5/15/07: added to repl American Ginseg</t>
        </r>
      </text>
    </comment>
    <comment ref="D161" authorId="0">
      <text>
        <r>
          <rPr>
            <sz val="8"/>
            <rFont val="Arial"/>
            <family val="2"/>
          </rPr>
          <t>5/15/07: 8:1 extract; equiv to 1600 mg whole root</t>
        </r>
      </text>
    </comment>
    <comment ref="CM161" authorId="0">
      <text>
        <r>
          <rPr>
            <sz val="8"/>
            <rFont val="Arial"/>
            <family val="2"/>
          </rPr>
          <t>5/15/07: 8:1 extract equiv to whole root; each =40mg 20% ginsenosides</t>
        </r>
      </text>
    </comment>
    <comment ref="A162" authorId="0">
      <text>
        <r>
          <rPr>
            <sz val="8"/>
            <rFont val="Arial"/>
            <family val="2"/>
          </rPr>
          <t>7/07: newly added</t>
        </r>
      </text>
    </comment>
    <comment ref="A163" authorId="0">
      <text>
        <r>
          <rPr>
            <sz val="8"/>
            <rFont val="Arial"/>
            <family val="2"/>
          </rPr>
          <t>7/07: newly added</t>
        </r>
      </text>
    </comment>
    <comment ref="E164" authorId="0">
      <text>
        <r>
          <rPr>
            <b/>
            <sz val="8"/>
            <color indexed="8"/>
            <rFont val="Arial"/>
            <family val="1"/>
          </rPr>
          <t>1 each meal + 1/2 in morning premeal drink
2/07: w/ 1 meal daily, chngd to 2NF &amp; 1PF</t>
        </r>
      </text>
    </comment>
    <comment ref="AJ164" authorId="0">
      <text>
        <r>
          <rPr>
            <b/>
            <sz val="8"/>
            <color indexed="8"/>
            <rFont val="Arial"/>
            <family val="1"/>
          </rPr>
          <t>Calcium =8.41% 4/26/04: from calcium pantothnate</t>
        </r>
      </text>
    </comment>
    <comment ref="HE164" authorId="0">
      <text>
        <r>
          <rPr>
            <b/>
            <sz val="8"/>
            <color indexed="8"/>
            <rFont val="Arial"/>
            <family val="1"/>
          </rPr>
          <t>4/26/04: from calcium pantothnate</t>
        </r>
      </text>
    </comment>
    <comment ref="E165" authorId="0">
      <text>
        <r>
          <rPr>
            <b/>
            <sz val="8"/>
            <color indexed="8"/>
            <rFont val="Arial"/>
            <family val="1"/>
          </rPr>
          <t>1 each meal + 1/2 in morning premeal drink
2/07: w/ 1 meal daily,  chngd to NF &amp; PF</t>
        </r>
      </text>
    </comment>
    <comment ref="AJ165" authorId="0">
      <text>
        <r>
          <rPr>
            <b/>
            <sz val="8"/>
            <color indexed="8"/>
            <rFont val="Arial"/>
            <family val="1"/>
          </rPr>
          <t>Calcium =8.41% 4/26/04: from calcium pantothnate</t>
        </r>
      </text>
    </comment>
    <comment ref="HE165" authorId="0">
      <text>
        <r>
          <rPr>
            <b/>
            <sz val="8"/>
            <color indexed="8"/>
            <rFont val="Arial"/>
            <family val="1"/>
          </rPr>
          <t>4/26/04: from calcium pantothnate</t>
        </r>
      </text>
    </comment>
    <comment ref="C166" authorId="0">
      <text>
        <r>
          <rPr>
            <sz val="8"/>
            <rFont val="Arial"/>
            <family val="2"/>
          </rPr>
          <t>2/6/07: new #; old 881; chng to tablets</t>
        </r>
      </text>
    </comment>
    <comment ref="AN166" authorId="0">
      <text>
        <r>
          <rPr>
            <b/>
            <sz val="8"/>
            <color indexed="8"/>
            <rFont val="Arial"/>
            <family val="1"/>
          </rPr>
          <t>1/30/06: MW proprionic acid=74; MW carnitine=161
2/6/07: same total</t>
        </r>
      </text>
    </comment>
    <comment ref="CW166" authorId="0">
      <text>
        <r>
          <rPr>
            <b/>
            <sz val="8"/>
            <color indexed="8"/>
            <rFont val="Arial"/>
            <family val="1"/>
          </rPr>
          <t>1/30/06: MW glyceine=75
2/6/07: same total</t>
        </r>
      </text>
    </comment>
    <comment ref="CX166" authorId="0">
      <text>
        <r>
          <rPr>
            <b/>
            <sz val="8"/>
            <color indexed="8"/>
            <rFont val="Arial"/>
            <family val="1"/>
          </rPr>
          <t>2/6/07: same total</t>
        </r>
      </text>
    </comment>
    <comment ref="EQ166" authorId="0">
      <text>
        <r>
          <rPr>
            <b/>
            <sz val="8"/>
            <color indexed="8"/>
            <rFont val="Arial"/>
            <family val="1"/>
          </rPr>
          <t>2/6/07: same total</t>
        </r>
      </text>
    </comment>
    <comment ref="A169" authorId="0">
      <text>
        <r>
          <rPr>
            <sz val="8"/>
            <rFont val="Arial"/>
            <family val="2"/>
          </rPr>
          <t>2/1/07: no reorder; reevaluate usage</t>
        </r>
      </text>
    </comment>
    <comment ref="E169" authorId="0">
      <text>
        <r>
          <rPr>
            <sz val="8"/>
            <rFont val="Arial"/>
            <family val="2"/>
          </rPr>
          <t>11/17/06: reduced from 1 daily
2/3/07: no reorder; to reevaluate
4/07; reevaluated, will keep
1/2/08: no reorder</t>
        </r>
      </text>
    </comment>
    <comment ref="A170" authorId="0">
      <text>
        <r>
          <rPr>
            <sz val="8"/>
            <rFont val="Arial"/>
            <family val="2"/>
          </rPr>
          <t>added Nov 2006
9/07: replaced w/ Endothelial Defense</t>
        </r>
      </text>
    </comment>
    <comment ref="FB170" authorId="0">
      <text>
        <r>
          <rPr>
            <sz val="8"/>
            <rFont val="Arial"/>
            <family val="2"/>
          </rPr>
          <t>1/30/07: 400mg (std to 30% punicalagins) + 100 5:1 extract (fruit)</t>
        </r>
      </text>
    </comment>
    <comment ref="A171" authorId="0">
      <text>
        <r>
          <rPr>
            <sz val="8"/>
            <color indexed="8"/>
            <rFont val="Arial"/>
            <family val="2"/>
          </rPr>
          <t>added Nov 2006
9/07: replaced w/ Endothelial Defense</t>
        </r>
      </text>
    </comment>
    <comment ref="FB171" authorId="0">
      <text>
        <r>
          <rPr>
            <sz val="8"/>
            <rFont val="Arial"/>
            <family val="2"/>
          </rPr>
          <t>1/30/07: 400mg (std to 30% punicalagins) + 100 5:1 extract (fruit)</t>
        </r>
      </text>
    </comment>
    <comment ref="A172" authorId="0">
      <text>
        <r>
          <rPr>
            <sz val="8"/>
            <rFont val="Arial"/>
            <family val="2"/>
          </rPr>
          <t>added Nov 2006 – used in smoothie</t>
        </r>
      </text>
    </comment>
    <comment ref="FD172" authorId="0">
      <text>
        <r>
          <rPr>
            <sz val="8"/>
            <rFont val="Arial"/>
            <family val="2"/>
          </rPr>
          <t>1/30/07: additional extracts added standardized to 30% Punicalagins</t>
        </r>
      </text>
    </comment>
    <comment ref="A173" authorId="0">
      <text>
        <r>
          <rPr>
            <sz val="8"/>
            <rFont val="Arial"/>
            <family val="2"/>
          </rPr>
          <t>added Nov 2006 – used in Paul's smoothies; which Kitty gets ~40 of each daily amt</t>
        </r>
      </text>
    </comment>
    <comment ref="FD173" authorId="0">
      <text>
        <r>
          <rPr>
            <sz val="8"/>
            <rFont val="Arial"/>
            <family val="2"/>
          </rPr>
          <t>1/30/07: additional extracts added standardized to 30% Punicalagins</t>
        </r>
      </text>
    </comment>
    <comment ref="A174" authorId="0">
      <text>
        <r>
          <rPr>
            <sz val="8"/>
            <rFont val="Arial"/>
            <family val="2"/>
          </rPr>
          <t>5/25/07: reduce from 2 following bld wrk results</t>
        </r>
      </text>
    </comment>
    <comment ref="E174" authorId="0">
      <text>
        <r>
          <rPr>
            <sz val="8"/>
            <rFont val="Arial"/>
            <family val="2"/>
          </rPr>
          <t>4/10/08: incr from 1 daily (now NF &amp; HS)</t>
        </r>
      </text>
    </comment>
    <comment ref="E175" authorId="0">
      <text>
        <r>
          <rPr>
            <sz val="8"/>
            <rFont val="Arial"/>
            <family val="2"/>
          </rPr>
          <t>4/10/08: incr from 1 daily (now NF &amp; HS)</t>
        </r>
      </text>
    </comment>
    <comment ref="E178" authorId="0">
      <text>
        <r>
          <rPr>
            <sz val="8"/>
            <color indexed="8"/>
            <rFont val="Arial"/>
            <family val="1"/>
          </rPr>
          <t>1 each meal + 1/2 in morning premeal drink
2/07: w/ 1 meal daily,  chngd to NF &amp; PF</t>
        </r>
      </text>
    </comment>
    <comment ref="E180" authorId="0">
      <text>
        <r>
          <rPr>
            <sz val="8"/>
            <rFont val="Arial"/>
            <family val="2"/>
          </rPr>
          <t>6/6/08: incr when #683 stock gone;
7/4/08: 1 NF/HS &amp; 1 #683 w/F till used up</t>
        </r>
      </text>
    </comment>
    <comment ref="FM180" authorId="0">
      <text>
        <r>
          <rPr>
            <sz val="8"/>
            <rFont val="Arial"/>
            <family val="2"/>
          </rPr>
          <t>6/6/08: repl #683; from 300mg sodium R-lipoate</t>
        </r>
      </text>
    </comment>
    <comment ref="E181" authorId="0">
      <text>
        <r>
          <rPr>
            <sz val="8"/>
            <rFont val="Arial"/>
            <family val="2"/>
          </rPr>
          <t xml:space="preserve">6/6/08: incr when #683  stock gone;
</t>
        </r>
        <r>
          <rPr>
            <sz val="8"/>
            <color indexed="8"/>
            <rFont val="Arial"/>
            <family val="2"/>
          </rPr>
          <t>7/4/08: 1/HS &amp; 1  #683 w/F till used up</t>
        </r>
      </text>
    </comment>
    <comment ref="FM181" authorId="0">
      <text>
        <r>
          <rPr>
            <sz val="8"/>
            <rFont val="Arial"/>
            <family val="2"/>
          </rPr>
          <t>6/6/08: repl #683; from 300mg sodium R-lipoate</t>
        </r>
      </text>
    </comment>
    <comment ref="E184" authorId="0">
      <text>
        <r>
          <rPr>
            <sz val="8"/>
            <rFont val="Arial"/>
            <family val="2"/>
          </rPr>
          <t>1/15/0</t>
        </r>
        <r>
          <rPr>
            <sz val="8"/>
            <color indexed="8"/>
            <rFont val="Arial"/>
            <family val="2"/>
          </rPr>
          <t>8: NF dose</t>
        </r>
        <r>
          <rPr>
            <sz val="8"/>
            <rFont val="Arial"/>
            <family val="2"/>
          </rPr>
          <t>;
5/08: w/F</t>
        </r>
      </text>
    </comment>
    <comment ref="E185" authorId="0">
      <text>
        <r>
          <rPr>
            <sz val="8"/>
            <color indexed="8"/>
            <rFont val="Arial"/>
            <family val="2"/>
          </rPr>
          <t>1/15/08: NF dose;
5/08: w/F</t>
        </r>
      </text>
    </comment>
    <comment ref="A186" authorId="0">
      <text>
        <r>
          <rPr>
            <sz val="8"/>
            <rFont val="Arial"/>
            <family val="2"/>
          </rPr>
          <t>2/2/07: added</t>
        </r>
      </text>
    </comment>
    <comment ref="E186" authorId="0">
      <text>
        <r>
          <rPr>
            <sz val="8"/>
            <rFont val="Arial"/>
            <family val="2"/>
          </rPr>
          <t>4/30/07: 1 hs 2NF
1/15/08: HS only
5/25/08: ^ &amp; all w/F</t>
        </r>
      </text>
    </comment>
    <comment ref="FL186" authorId="0">
      <text>
        <r>
          <rPr>
            <sz val="8"/>
            <rFont val="Arial"/>
            <family val="2"/>
          </rPr>
          <t>2/24/07 online note completed
1/11/07: as quercetin dihydrate</t>
        </r>
      </text>
    </comment>
    <comment ref="FN186" authorId="0">
      <text>
        <r>
          <rPr>
            <sz val="8"/>
            <color indexed="8"/>
            <rFont val="Arial"/>
            <family val="2"/>
          </rPr>
          <t xml:space="preserve">2/3/07: trans-resveratrol and its glucosides </t>
        </r>
        <r>
          <rPr>
            <sz val="8"/>
            <rFont val="Arial"/>
            <family val="2"/>
          </rPr>
          <t>from whole red grape (Vitis vinifera) and Polygonum cupidatum (root) extract
2/19/07: in resp. to email inqry, “94% free resveratrol and 6% glucoside”</t>
        </r>
      </text>
    </comment>
    <comment ref="A187" authorId="0">
      <text>
        <r>
          <rPr>
            <sz val="8"/>
            <rFont val="Arial"/>
            <family val="2"/>
          </rPr>
          <t>2/2/07: added</t>
        </r>
      </text>
    </comment>
    <comment ref="E187" authorId="0">
      <text>
        <r>
          <rPr>
            <sz val="8"/>
            <rFont val="Arial"/>
            <family val="2"/>
          </rPr>
          <t>4/30/07: 1 hs 1NF; temp – 1 F
5/2508: temp 3 F – goal 1,250 &amp; 1, 1 00 F;
6/30/08: at goal – w/F</t>
        </r>
      </text>
    </comment>
    <comment ref="FL187" authorId="0">
      <text>
        <r>
          <rPr>
            <sz val="8"/>
            <color indexed="8"/>
            <rFont val="Arial"/>
            <family val="2"/>
          </rPr>
          <t>2/24/07 online note completed
1/11/07: as quercetin dihydrate</t>
        </r>
      </text>
    </comment>
    <comment ref="FN187" authorId="0">
      <text>
        <r>
          <rPr>
            <sz val="8"/>
            <color indexed="8"/>
            <rFont val="Arial"/>
            <family val="2"/>
          </rPr>
          <t>2/3/07: trans-resveratrol and its glucosides from whole red grape (Vitis vinifera) and Polygonum cupidatum (root) extract
2/19/07: in resp. to email inqry, “94% free resveratrol and 6% glucoside”</t>
        </r>
      </text>
    </comment>
    <comment ref="A190" authorId="0">
      <text>
        <r>
          <rPr>
            <sz val="8"/>
            <rFont val="Arial"/>
            <family val="2"/>
          </rPr>
          <t>10/20/07: restarted</t>
        </r>
      </text>
    </comment>
    <comment ref="FO190" authorId="0">
      <text>
        <r>
          <rPr>
            <sz val="8"/>
            <rFont val="Arial"/>
            <family val="2"/>
          </rPr>
          <t>10/20/07: standardized to 3% rosavins (7.5 mg), 1% salidrosides (2.5 mg)</t>
        </r>
      </text>
    </comment>
    <comment ref="A191" authorId="0">
      <text>
        <r>
          <rPr>
            <b/>
            <sz val="8"/>
            <color indexed="8"/>
            <rFont val="Arial"/>
            <family val="1"/>
          </rPr>
          <t>1/2/05: new; also contains perilla leaf extract
2/1/07: no reorder; reevaluate usage</t>
        </r>
      </text>
    </comment>
    <comment ref="E191" authorId="0">
      <text>
        <r>
          <rPr>
            <sz val="8"/>
            <rFont val="Arial"/>
            <family val="2"/>
          </rPr>
          <t>11/17/06: reduced from 1 daily
2/6/07: no reorder; reevaluate usage
4/7/07: reeval &amp; incr
6/8/07: reduced from 3; reduce of total pill qty</t>
        </r>
      </text>
    </comment>
    <comment ref="FS191" authorId="0">
      <text>
        <r>
          <rPr>
            <b/>
            <sz val="8"/>
            <color indexed="8"/>
            <rFont val="Arial"/>
            <family val="1"/>
          </rPr>
          <t>1/2/05:
pure acid, not extract</t>
        </r>
      </text>
    </comment>
    <comment ref="A192" authorId="0">
      <text>
        <r>
          <rPr>
            <b/>
            <sz val="8"/>
            <color indexed="8"/>
            <rFont val="Arial"/>
            <family val="1"/>
          </rPr>
          <t>1/2/05: new; also contains perilla leaf extract
2/1/07: no reorder; reevaluate usage
5/07: reduced from 2 daily for total pill qty</t>
        </r>
      </text>
    </comment>
    <comment ref="E192" authorId="0">
      <text>
        <r>
          <rPr>
            <sz val="8"/>
            <rFont val="Arial"/>
            <family val="2"/>
          </rPr>
          <t>11/17/06: reduced from 1 daily
2/6/07: no reorder; reevaluate usage
4/07: reeval &amp; incr
6/8/07: reduced from 2; reduce of total pill qty</t>
        </r>
      </text>
    </comment>
    <comment ref="FS192" authorId="0">
      <text>
        <r>
          <rPr>
            <b/>
            <sz val="8"/>
            <color indexed="8"/>
            <rFont val="Arial"/>
            <family val="1"/>
          </rPr>
          <t>1/2/05:
pure acid, not extract</t>
        </r>
      </text>
    </comment>
    <comment ref="A193" authorId="0">
      <text>
        <r>
          <rPr>
            <sz val="8"/>
            <rFont val="Arial"/>
            <family val="2"/>
          </rPr>
          <t>3/06 halted due to potential contribution to ^ homocysteine; 
2/1/07: no reorder; reevaluate usage
4/30/07: restarted; elimination did not effect level of homocysteine and value of its bioflavonoid is high.</t>
        </r>
      </text>
    </comment>
    <comment ref="E193" authorId="0">
      <text>
        <r>
          <rPr>
            <sz val="8"/>
            <rFont val="Arial"/>
            <family val="2"/>
          </rPr>
          <t>2/6/07: no reorder; reevaluate usage</t>
        </r>
      </text>
    </comment>
    <comment ref="A194" authorId="0">
      <text>
        <r>
          <rPr>
            <sz val="8"/>
            <color indexed="8"/>
            <rFont val="Arial"/>
            <family val="2"/>
          </rPr>
          <t>3/06 halted due to potential contribution to ^ homocysteine; 
2/1/07: no reorder; reevaluate usage
4/30/07: restarted; elimination did not effect level of homocysteine and value of its bioflavonoid is high.</t>
        </r>
      </text>
    </comment>
    <comment ref="E194" authorId="0">
      <text>
        <r>
          <rPr>
            <sz val="8"/>
            <rFont val="Arial"/>
            <family val="2"/>
          </rPr>
          <t>2/6/07: no reorder; reevaluate usage</t>
        </r>
      </text>
    </comment>
    <comment ref="A196" authorId="0">
      <text>
        <r>
          <rPr>
            <sz val="8"/>
            <rFont val="Arial"/>
            <family val="2"/>
          </rPr>
          <t>11/07 added</t>
        </r>
      </text>
    </comment>
    <comment ref="E197" authorId="0">
      <text>
        <r>
          <rPr>
            <sz val="8"/>
            <rFont val="Arial"/>
            <family val="2"/>
          </rPr>
          <t>1/15/08: dcr from 1 OD; selenium total high</t>
        </r>
      </text>
    </comment>
    <comment ref="FY197" authorId="0">
      <text>
        <r>
          <rPr>
            <b/>
            <sz val="8"/>
            <color indexed="8"/>
            <rFont val="Arial"/>
            <family val="1"/>
          </rPr>
          <t xml:space="preserve">Paul Wakfer:
</t>
        </r>
        <r>
          <rPr>
            <sz val="8"/>
            <color indexed="8"/>
            <rFont val="Arial"/>
            <family val="1"/>
          </rPr>
          <t>need formula from LEF</t>
        </r>
      </text>
    </comment>
    <comment ref="A199" authorId="0">
      <text>
        <r>
          <rPr>
            <b/>
            <sz val="8"/>
            <color indexed="8"/>
            <rFont val="Arial"/>
            <family val="1"/>
          </rPr>
          <t xml:space="preserve">10/12/05: new
</t>
        </r>
      </text>
    </comment>
    <comment ref="A200" authorId="0">
      <text>
        <r>
          <rPr>
            <b/>
            <sz val="8"/>
            <color indexed="8"/>
            <rFont val="Arial"/>
            <family val="1"/>
          </rPr>
          <t xml:space="preserve">10/12/05: </t>
        </r>
        <r>
          <rPr>
            <sz val="8"/>
            <color indexed="8"/>
            <rFont val="Arial"/>
            <family val="1"/>
          </rPr>
          <t>3 caps = 100 mg glicodin (SOD mimetic)
1/30/07: new prod # replacing 801 -wolfberry added</t>
        </r>
      </text>
    </comment>
    <comment ref="E200" authorId="0">
      <text>
        <r>
          <rPr>
            <sz val="8"/>
            <color indexed="8"/>
            <rFont val="Arial"/>
            <family val="1"/>
          </rPr>
          <t>1/15/06: all prebkfst, empty stomach 
2/4/07: w/ NF
6/8/07: temp reduc from 3 for total pill qty;
7/2/07: resume qty</t>
        </r>
      </text>
    </comment>
    <comment ref="GH200" authorId="0">
      <text>
        <r>
          <rPr>
            <sz val="8"/>
            <rFont val="Arial"/>
            <family val="2"/>
          </rPr>
          <t>1/30/07: same as old prod #801; proprietary phtoenzyme blend of glycine max, Zea mays, wheat sprout concentrate)</t>
        </r>
      </text>
    </comment>
    <comment ref="IF200" authorId="0">
      <text>
        <r>
          <rPr>
            <sz val="8"/>
            <rFont val="Arial"/>
            <family val="2"/>
          </rPr>
          <t>1/30/07; added w/ recent prod# change; std to 20% polysaccharides</t>
        </r>
      </text>
    </comment>
    <comment ref="A201" authorId="0">
      <text>
        <r>
          <rPr>
            <b/>
            <sz val="8"/>
            <color indexed="8"/>
            <rFont val="Arial"/>
            <family val="1"/>
          </rPr>
          <t xml:space="preserve">10/12/05: </t>
        </r>
        <r>
          <rPr>
            <sz val="8"/>
            <color indexed="8"/>
            <rFont val="Arial"/>
            <family val="1"/>
          </rPr>
          <t>3 caps = 100 mg glicodin (SOD mimetic)
1/30/07: new prod # replacing 801 -wolfberry added</t>
        </r>
      </text>
    </comment>
    <comment ref="E201" authorId="0">
      <text>
        <r>
          <rPr>
            <b/>
            <sz val="8"/>
            <color indexed="8"/>
            <rFont val="Arial"/>
            <family val="1"/>
          </rPr>
          <t xml:space="preserve">1/15/06: all prebkfst, empty stomach 
2/4/07: w/ NF
6/8/07: temp reduc from 2 for total pill qty;
7/30/07: cont'd reduc w/ addition of Endothelial
</t>
        </r>
      </text>
    </comment>
    <comment ref="GH201" authorId="0">
      <text>
        <r>
          <rPr>
            <sz val="8"/>
            <rFont val="Arial"/>
            <family val="2"/>
          </rPr>
          <t>1/30/07: same as old prod #801; proprietary phtoenzyme blen of glycine max, Zea mays, wheat sprout concentrate)</t>
        </r>
      </text>
    </comment>
    <comment ref="IF201" authorId="0">
      <text>
        <r>
          <rPr>
            <sz val="8"/>
            <rFont val="Arial"/>
            <family val="2"/>
          </rPr>
          <t>1/30/07; added w/ recent prod# change; std to 20% polysaccharides</t>
        </r>
      </text>
    </comment>
    <comment ref="A202" authorId="0">
      <text>
        <r>
          <rPr>
            <b/>
            <sz val="8"/>
            <color indexed="8"/>
            <rFont val="Arial"/>
            <family val="1"/>
          </rPr>
          <t>1/2/05: svg size 15g; numerous items removed from this table</t>
        </r>
      </text>
    </comment>
    <comment ref="CU202" authorId="0">
      <text>
        <r>
          <rPr>
            <b/>
            <sz val="8"/>
            <color indexed="8"/>
            <rFont val="Arial"/>
            <family val="1"/>
          </rPr>
          <t xml:space="preserve">1/2/05: as glutamic acid
</t>
        </r>
        <r>
          <rPr>
            <sz val="8"/>
            <color indexed="8"/>
            <rFont val="Arial"/>
            <family val="1"/>
          </rPr>
          <t>(the more correct name for glutamate)
glutamine and glutamic acid are in 1:1 correspondence</t>
        </r>
      </text>
    </comment>
    <comment ref="A203" authorId="0">
      <text>
        <r>
          <rPr>
            <b/>
            <sz val="8"/>
            <color indexed="8"/>
            <rFont val="Arial"/>
            <family val="1"/>
          </rPr>
          <t>4/23/04: svg size 15g; fats input not complete</t>
        </r>
      </text>
    </comment>
    <comment ref="CU203" authorId="0">
      <text>
        <r>
          <rPr>
            <b/>
            <sz val="8"/>
            <color indexed="8"/>
            <rFont val="Arial"/>
            <family val="1"/>
          </rPr>
          <t xml:space="preserve">1/2/05: as glutamic acid
</t>
        </r>
        <r>
          <rPr>
            <sz val="8"/>
            <color indexed="8"/>
            <rFont val="Arial"/>
            <family val="1"/>
          </rPr>
          <t xml:space="preserve"> (the more correct name for glutamate)
glutamine and glutamic acid are in 1:1 correspondence</t>
        </r>
      </text>
    </comment>
    <comment ref="E204" authorId="0">
      <text>
        <r>
          <rPr>
            <sz val="10"/>
            <rFont val="Arial"/>
            <family val="2"/>
          </rPr>
          <t>11/17/06: reduced from 2 daily</t>
        </r>
      </text>
    </comment>
    <comment ref="A205" authorId="0">
      <text>
        <r>
          <rPr>
            <b/>
            <sz val="8"/>
            <color indexed="8"/>
            <rFont val="Arial"/>
            <family val="1"/>
          </rPr>
          <t xml:space="preserve">1/2/05: tbl has new breakdown
</t>
        </r>
        <r>
          <rPr>
            <sz val="8"/>
            <color indexed="8"/>
            <rFont val="Arial"/>
            <family val="1"/>
          </rPr>
          <t>1/12/06: bottle label different again</t>
        </r>
      </text>
    </comment>
    <comment ref="E205" authorId="0">
      <text>
        <r>
          <rPr>
            <sz val="8"/>
            <color indexed="8"/>
            <rFont val="Arial"/>
            <family val="1"/>
          </rPr>
          <t xml:space="preserve">1/12/06: in 2 days' worth of smoothie; amts on label per 5 grams;
2/07: modified amt w/ 1 meal daily.
10/8/07: stop w/ next smoothie making – see if decreases HgbA1C
11/30/07: forgot to do
</t>
        </r>
      </text>
    </comment>
    <comment ref="H205" authorId="0">
      <text>
        <r>
          <rPr>
            <b/>
            <sz val="8"/>
            <color indexed="8"/>
            <rFont val="Arial"/>
            <family val="1"/>
          </rPr>
          <t xml:space="preserve">1/12/06: extract per TwL label
</t>
        </r>
      </text>
    </comment>
    <comment ref="AD205" authorId="0">
      <text>
        <r>
          <rPr>
            <b/>
            <sz val="8"/>
            <color indexed="8"/>
            <rFont val="Arial"/>
            <family val="1"/>
          </rPr>
          <t xml:space="preserve">1/12/06: from lemons
</t>
        </r>
      </text>
    </comment>
    <comment ref="BZ205" authorId="0">
      <text>
        <r>
          <rPr>
            <b/>
            <sz val="8"/>
            <color indexed="8"/>
            <rFont val="Arial"/>
            <family val="1"/>
          </rPr>
          <t xml:space="preserve">1/2/05: using flavaonid breakdown from Citrus Bioflavanoids
</t>
        </r>
      </text>
    </comment>
    <comment ref="CA205" authorId="0">
      <text>
        <r>
          <rPr>
            <b/>
            <sz val="8"/>
            <color indexed="8"/>
            <rFont val="Arial"/>
            <family val="1"/>
          </rPr>
          <t xml:space="preserve">1/2/05: using flavaonid breakdown from Citrus Bioflavanoids
</t>
        </r>
      </text>
    </comment>
    <comment ref="DB205" authorId="0">
      <text>
        <r>
          <rPr>
            <b/>
            <sz val="8"/>
            <color indexed="8"/>
            <rFont val="Arial"/>
            <family val="1"/>
          </rPr>
          <t xml:space="preserve">1/2/05: flavanoid breakdown from Citrus Bioflavanoids &amp; separately listed Hesperidin
</t>
        </r>
        <r>
          <rPr>
            <sz val="8"/>
            <color indexed="8"/>
            <rFont val="Arial"/>
            <family val="1"/>
          </rPr>
          <t>1/12/06: no Citrus Bioflavanoid Complex listed</t>
        </r>
      </text>
    </comment>
    <comment ref="HM205" authorId="0">
      <text>
        <r>
          <rPr>
            <b/>
            <sz val="8"/>
            <color indexed="8"/>
            <rFont val="Arial"/>
            <family val="1"/>
          </rPr>
          <t>4/24/04:  from K, Ca, Mg, Zn, &amp; Mn ascorbates;
1/12/06: same</t>
        </r>
      </text>
    </comment>
    <comment ref="II205" authorId="0">
      <text>
        <r>
          <rPr>
            <b/>
            <sz val="8"/>
            <color indexed="8"/>
            <rFont val="Arial"/>
            <family val="1"/>
          </rPr>
          <t>4/24/04: from ascorbate</t>
        </r>
      </text>
    </comment>
    <comment ref="A206" authorId="0">
      <text>
        <r>
          <rPr>
            <b/>
            <sz val="8"/>
            <color indexed="8"/>
            <rFont val="Arial"/>
            <family val="1"/>
          </rPr>
          <t xml:space="preserve">1/2/05: tbl has new breakdown
</t>
        </r>
        <r>
          <rPr>
            <sz val="8"/>
            <color indexed="8"/>
            <rFont val="Arial"/>
            <family val="1"/>
          </rPr>
          <t>1/12/06: bottle label different again</t>
        </r>
      </text>
    </comment>
    <comment ref="E206" authorId="0">
      <text>
        <r>
          <rPr>
            <sz val="8"/>
            <color indexed="8"/>
            <rFont val="Arial"/>
            <family val="1"/>
          </rPr>
          <t xml:space="preserve">1/12/06: in 2 days' worth of smoothie; amts on label per 5 grams
10/8/07: stop w/ next smoothie making – see if decreases HgbA1C
11/30/07: forgot to do
</t>
        </r>
      </text>
    </comment>
    <comment ref="H206" authorId="0">
      <text>
        <r>
          <rPr>
            <b/>
            <sz val="8"/>
            <color indexed="8"/>
            <rFont val="Arial"/>
            <family val="1"/>
          </rPr>
          <t>2/07: extract per TwL label</t>
        </r>
      </text>
    </comment>
    <comment ref="AD206" authorId="0">
      <text>
        <r>
          <rPr>
            <b/>
            <sz val="8"/>
            <color indexed="8"/>
            <rFont val="Arial"/>
            <family val="1"/>
          </rPr>
          <t xml:space="preserve">1/12/06: from lemons
</t>
        </r>
      </text>
    </comment>
    <comment ref="BZ206" authorId="0">
      <text>
        <r>
          <rPr>
            <b/>
            <sz val="8"/>
            <color indexed="8"/>
            <rFont val="Arial"/>
            <family val="1"/>
          </rPr>
          <t xml:space="preserve">1/2/05: using flavaonid breakdown from Citrus Bioflavanoids
</t>
        </r>
      </text>
    </comment>
    <comment ref="CA206" authorId="0">
      <text>
        <r>
          <rPr>
            <b/>
            <sz val="8"/>
            <color indexed="8"/>
            <rFont val="Arial"/>
            <family val="1"/>
          </rPr>
          <t xml:space="preserve">1/2/05: using flavaonid breakdown from Citrus Bioflavanoids
</t>
        </r>
      </text>
    </comment>
    <comment ref="DB206" authorId="0">
      <text>
        <r>
          <rPr>
            <b/>
            <sz val="8"/>
            <color indexed="8"/>
            <rFont val="Arial"/>
            <family val="1"/>
          </rPr>
          <t xml:space="preserve">1/2/05: flavanoid breakdown from Citrus Bioflavanoids &amp; separately listed Hesperidin
</t>
        </r>
        <r>
          <rPr>
            <sz val="8"/>
            <color indexed="8"/>
            <rFont val="Arial"/>
            <family val="1"/>
          </rPr>
          <t>1/12/06: no Citrus Bioflavanoid Complex listed</t>
        </r>
      </text>
    </comment>
    <comment ref="HM206" authorId="0">
      <text>
        <r>
          <rPr>
            <b/>
            <sz val="8"/>
            <color indexed="8"/>
            <rFont val="Arial"/>
            <family val="1"/>
          </rPr>
          <t>4/24/04:  from K, Ca, Mg, Zn, &amp; Mn ascorbates;
1/12/06: same</t>
        </r>
      </text>
    </comment>
    <comment ref="II206" authorId="0">
      <text>
        <r>
          <rPr>
            <b/>
            <sz val="8"/>
            <color indexed="8"/>
            <rFont val="Arial"/>
            <family val="1"/>
          </rPr>
          <t>4/24/04: from ascorbate</t>
        </r>
      </text>
    </comment>
    <comment ref="A207" authorId="0">
      <text>
        <r>
          <rPr>
            <sz val="8"/>
            <rFont val="Arial"/>
            <family val="2"/>
          </rPr>
          <t>added Nov 2006
1/15/08: chng from #952</t>
        </r>
      </text>
    </comment>
    <comment ref="AZ207" authorId="0">
      <text>
        <r>
          <rPr>
            <sz val="8"/>
            <rFont val="Arial"/>
            <family val="2"/>
          </rPr>
          <t>1/15/08: as Ubiquinol (Kaneka QH™ reduced form of CoQ10); moved from sep column</t>
        </r>
      </text>
    </comment>
    <comment ref="C208" authorId="0">
      <text>
        <r>
          <rPr>
            <sz val="8"/>
            <rFont val="Arial"/>
            <family val="2"/>
          </rPr>
          <t>2/28/08: chngd from #787; product deleted Taurine</t>
        </r>
      </text>
    </comment>
    <comment ref="E208" authorId="0">
      <text>
        <r>
          <rPr>
            <sz val="8"/>
            <rFont val="Arial"/>
            <family val="2"/>
          </rPr>
          <t>at nite only</t>
        </r>
      </text>
    </comment>
    <comment ref="GM208" authorId="0">
      <text>
        <r>
          <rPr>
            <sz val="8"/>
            <rFont val="Arial"/>
            <family val="2"/>
          </rPr>
          <t xml:space="preserve">2/8/08: eliminated w/ change from #787. </t>
        </r>
      </text>
    </comment>
    <comment ref="A209" authorId="0">
      <text>
        <r>
          <rPr>
            <sz val="8"/>
            <color indexed="8"/>
            <rFont val="Arial"/>
            <family val="1"/>
          </rPr>
          <t>1/2/05: all added items removed;
1/14/06: product change - reduc d-Limonene
1/20/07: new prod #; no listed content change</t>
        </r>
      </text>
    </comment>
    <comment ref="E209" authorId="0">
      <text>
        <r>
          <rPr>
            <sz val="8"/>
            <color indexed="8"/>
            <rFont val="Arial"/>
            <family val="2"/>
          </rPr>
          <t>2/1/07: decr from 2 daily w/ addition of CoQ10 (Ubiquinol)</t>
        </r>
      </text>
    </comment>
    <comment ref="AZ209" authorId="0">
      <text>
        <r>
          <rPr>
            <sz val="8"/>
            <rFont val="Arial"/>
            <family val="2"/>
          </rPr>
          <t>1/30/07: same as w/ old prod# 910</t>
        </r>
      </text>
    </comment>
    <comment ref="DR209" authorId="0">
      <text>
        <r>
          <rPr>
            <b/>
            <sz val="8"/>
            <color indexed="8"/>
            <rFont val="Arial"/>
            <family val="1"/>
          </rPr>
          <t xml:space="preserve">10/12/05: 90% of 145mg  orange peel oil extract
</t>
        </r>
        <r>
          <rPr>
            <sz val="8"/>
            <color indexed="8"/>
            <rFont val="Arial"/>
            <family val="1"/>
          </rPr>
          <t>1/14/06: LEF reduced to 90% of 111mg of same extract
1/30/07: same</t>
        </r>
      </text>
    </comment>
    <comment ref="A210" authorId="0">
      <text>
        <r>
          <rPr>
            <sz val="8"/>
            <rFont val="Arial"/>
            <family val="2"/>
          </rPr>
          <t>4/7/08: newly added</t>
        </r>
      </text>
    </comment>
    <comment ref="AK210" authorId="0">
      <text>
        <r>
          <rPr>
            <sz val="8"/>
            <rFont val="Arial"/>
            <family val="2"/>
          </rPr>
          <t>4/9/08: (16-24% faradiol esters, 0.8-1.2% carotenes)</t>
        </r>
      </text>
    </comment>
    <comment ref="FS210" authorId="0">
      <text>
        <r>
          <rPr>
            <sz val="8"/>
            <rFont val="Arial"/>
            <family val="2"/>
          </rPr>
          <t xml:space="preserve">4/9/08: (20-24% total phenolic antioxidants [TPA])
</t>
        </r>
      </text>
    </comment>
    <comment ref="FW210" authorId="0">
      <text>
        <r>
          <rPr>
            <b/>
            <sz val="8"/>
            <rFont val="Arial"/>
            <family val="2"/>
          </rPr>
          <t>4/9/08:</t>
        </r>
        <r>
          <rPr>
            <sz val="8"/>
            <rFont val="Arial"/>
            <family val="2"/>
          </rPr>
          <t xml:space="preserve"> (fruit), supercritical extract (350 mg)  - 
(20-28% palmitoleic acid, 4-9% cis-vaccenic acid, 4-9% polyunsaturated fatty acids [PUFAs], 0.09-0.25% carotenes); (seed), supercritical extract, 
100 mg (min.58% PUFAs)
</t>
        </r>
      </text>
    </comment>
    <comment ref="A211" authorId="0">
      <text>
        <r>
          <rPr>
            <b/>
            <sz val="8"/>
            <color indexed="8"/>
            <rFont val="Arial"/>
            <family val="1"/>
          </rPr>
          <t xml:space="preserve">1/2/05: new product replacing w/o sesame version' 
</t>
        </r>
        <r>
          <rPr>
            <sz val="8"/>
            <color indexed="8"/>
            <rFont val="Arial"/>
            <family val="1"/>
          </rPr>
          <t>10/12/05; replacing plain sesame lignans version
1/30/07: new prod #902 replacing #894</t>
        </r>
      </text>
    </comment>
    <comment ref="E211" authorId="0">
      <text>
        <r>
          <rPr>
            <sz val="8"/>
            <rFont val="Arial"/>
            <family val="2"/>
          </rPr>
          <t>6/8/07: reduced from 5; reduce of total pill qty
8/4/07 TEMP reduc due to shortage
9/22/07: resumed full dosage – enough to last</t>
        </r>
      </text>
    </comment>
    <comment ref="BL211" authorId="0">
      <text>
        <r>
          <rPr>
            <sz val="8"/>
            <rFont val="Arial"/>
            <family val="2"/>
          </rPr>
          <t>1/30/07: same as for old prod# 894; part of Wild Fish Oil Concentrate</t>
        </r>
      </text>
    </comment>
    <comment ref="BW211" authorId="0">
      <text>
        <r>
          <rPr>
            <sz val="8"/>
            <rFont val="Arial"/>
            <family val="2"/>
          </rPr>
          <t>1/30/07: same as for old prod# 894; part of Wild Fish Oil Concentrate</t>
        </r>
      </text>
    </comment>
    <comment ref="EK211" authorId="0">
      <text>
        <r>
          <rPr>
            <b/>
            <sz val="8"/>
            <color indexed="8"/>
            <rFont val="Arial"/>
            <family val="1"/>
          </rPr>
          <t xml:space="preserve">10/12/05: Olive fruit extract is 9% the potency of the ingredients in LEF
10/29/06: olive fruit extract incr w/ std decr to 8%
1/30/07: incr total extract from 530 mg/4; polyphenols separate 
</t>
        </r>
      </text>
    </comment>
    <comment ref="FC211" authorId="0">
      <text>
        <r>
          <rPr>
            <sz val="8"/>
            <rFont val="Arial"/>
            <family val="2"/>
          </rPr>
          <t>1/30/07: same as old  prod# 894</t>
        </r>
      </text>
    </comment>
    <comment ref="FS211" authorId="0">
      <text>
        <r>
          <rPr>
            <sz val="8"/>
            <rFont val="Arial"/>
            <family val="2"/>
          </rPr>
          <t xml:space="preserve">10/29/06: standarduzed to 20% diterpenic compounds
1/30/07: same as w/ old prod #894
</t>
        </r>
      </text>
    </comment>
    <comment ref="GC211" authorId="0">
      <text>
        <r>
          <rPr>
            <sz val="8"/>
            <rFont val="Arial"/>
            <family val="2"/>
          </rPr>
          <t>1/30/07: same as w/ old prod #894</t>
        </r>
      </text>
    </comment>
    <comment ref="A212" authorId="0">
      <text>
        <r>
          <rPr>
            <b/>
            <sz val="8"/>
            <color indexed="8"/>
            <rFont val="Arial"/>
            <family val="1"/>
          </rPr>
          <t xml:space="preserve">1/2/05: new product replacing w/o sesame version' 
</t>
        </r>
        <r>
          <rPr>
            <sz val="8"/>
            <color indexed="8"/>
            <rFont val="Arial"/>
            <family val="1"/>
          </rPr>
          <t>10/12/05; replacing plain sesame lignans version
1/30/07: new prod #902 replacing #894</t>
        </r>
      </text>
    </comment>
    <comment ref="E212" authorId="0">
      <text>
        <r>
          <rPr>
            <sz val="8"/>
            <rFont val="Arial"/>
            <family val="2"/>
          </rPr>
          <t xml:space="preserve">6/8/07: reduced from 4; reduce of total pill qty
</t>
        </r>
        <r>
          <rPr>
            <sz val="8"/>
            <color indexed="8"/>
            <rFont val="Arial"/>
            <family val="2"/>
          </rPr>
          <t>8/4/07 TEMP reduc due to shortage
9/22/07: resumed full dosage – enough to last</t>
        </r>
      </text>
    </comment>
    <comment ref="BL212" authorId="0">
      <text>
        <r>
          <rPr>
            <sz val="8"/>
            <rFont val="Arial"/>
            <family val="2"/>
          </rPr>
          <t>1/30/07: same as for old prod# 894; part of Wild Fish Oil Concentrate</t>
        </r>
      </text>
    </comment>
    <comment ref="BW212" authorId="0">
      <text>
        <r>
          <rPr>
            <sz val="8"/>
            <rFont val="Arial"/>
            <family val="2"/>
          </rPr>
          <t>1/30/07: same as for old prod# 894; part of Wild Fish Oil Concentrate</t>
        </r>
      </text>
    </comment>
    <comment ref="EK212" authorId="0">
      <text>
        <r>
          <rPr>
            <b/>
            <sz val="8"/>
            <color indexed="8"/>
            <rFont val="Arial"/>
            <family val="1"/>
          </rPr>
          <t xml:space="preserve">10/12/05: Olive fruit extract is 9% the potency of the ingredients in LEF
10/29/06: olive fruit extract incr w/ std decr to 8%
1/30/07: incr total extract from 530 mg/4; polyphenols separate 
</t>
        </r>
      </text>
    </comment>
    <comment ref="FC212" authorId="0">
      <text>
        <r>
          <rPr>
            <sz val="8"/>
            <rFont val="Arial"/>
            <family val="2"/>
          </rPr>
          <t>1/30/07: same as old  prod# 894</t>
        </r>
      </text>
    </comment>
    <comment ref="FS212" authorId="0">
      <text>
        <r>
          <rPr>
            <sz val="8"/>
            <color indexed="8"/>
            <rFont val="Arial"/>
            <family val="2"/>
          </rPr>
          <t>10/29/06: standarduzed ti 20% diterpenic compounds
1/30/07: same as w/ old prod #894</t>
        </r>
      </text>
    </comment>
    <comment ref="GC212" authorId="0">
      <text>
        <r>
          <rPr>
            <sz val="8"/>
            <rFont val="Arial"/>
            <family val="2"/>
          </rPr>
          <t>1/30/07: same as w/ old prod #894</t>
        </r>
      </text>
    </comment>
    <comment ref="A213" authorId="0">
      <text>
        <r>
          <rPr>
            <b/>
            <sz val="8"/>
            <color indexed="8"/>
            <rFont val="Arial"/>
            <family val="1"/>
          </rPr>
          <t>1/1/05: incr Vit level; eliminate separate VitK gelcaps
1/30/07: prod # chng; no longer including zeaxanthin</t>
        </r>
      </text>
    </comment>
    <comment ref="AJ213" authorId="0">
      <text>
        <r>
          <rPr>
            <sz val="8"/>
            <rFont val="Arial"/>
            <family val="2"/>
          </rPr>
          <t>1/30/07: same as old prod #780; as calcium ascorbate; not listed separately in magazine</t>
        </r>
      </text>
    </comment>
    <comment ref="AT213" authorId="0">
      <text>
        <r>
          <rPr>
            <sz val="8"/>
            <rFont val="Arial"/>
            <family val="2"/>
          </rPr>
          <t>1/30/07: same as old prod# 780</t>
        </r>
      </text>
    </comment>
    <comment ref="CB213" authorId="0">
      <text>
        <r>
          <rPr>
            <sz val="8"/>
            <rFont val="Arial"/>
            <family val="2"/>
          </rPr>
          <t>1/30/07: same as old prod #780</t>
        </r>
      </text>
    </comment>
    <comment ref="CL213" authorId="0">
      <text>
        <r>
          <rPr>
            <sz val="8"/>
            <rFont val="Arial"/>
            <family val="2"/>
          </rPr>
          <t>1/30/07: same as old prod #780; standardized for 24% gingoflavonglycosides, 6% total terpene lactones &lt; 1ppm ginkgolic acid</t>
        </r>
      </text>
    </comment>
    <comment ref="DT213" authorId="0">
      <text>
        <r>
          <rPr>
            <b/>
            <sz val="8"/>
            <color indexed="8"/>
            <rFont val="Arial"/>
            <family val="1"/>
          </rPr>
          <t>1/1/05: sl decr; ffrom marigold extract
1/30/07: same as old prod #780</t>
        </r>
      </text>
    </comment>
    <comment ref="DV213" authorId="0">
      <text>
        <r>
          <rPr>
            <sz val="8"/>
            <rFont val="Arial"/>
            <family val="2"/>
          </rPr>
          <t>1/30/07: same as old prod #780</t>
        </r>
      </text>
    </comment>
    <comment ref="FX213" authorId="0">
      <text>
        <r>
          <rPr>
            <b/>
            <sz val="8"/>
            <color indexed="8"/>
            <rFont val="Arial"/>
            <family val="1"/>
          </rPr>
          <t>1/2/05: breakdown of selenium given in 2004 Product Directory
1/30/07: same as old prod #780; provided in 2/07 magzine</t>
        </r>
      </text>
    </comment>
    <comment ref="FY213" authorId="0">
      <text>
        <r>
          <rPr>
            <sz val="8"/>
            <rFont val="Arial"/>
            <family val="2"/>
          </rPr>
          <t>1/30/07: same as old prod #780; details in 2/07 mag issue</t>
        </r>
      </text>
    </comment>
    <comment ref="FZ213" authorId="0">
      <text>
        <r>
          <rPr>
            <sz val="8"/>
            <rFont val="Arial"/>
            <family val="2"/>
          </rPr>
          <t>1/30/07: same as old prod #780; details provided in 2/07 mag issue</t>
        </r>
      </text>
    </comment>
    <comment ref="GA213" authorId="0">
      <text>
        <r>
          <rPr>
            <sz val="8"/>
            <rFont val="Arial"/>
            <family val="2"/>
          </rPr>
          <t>1/30/07: same as old prod #780; dtails provided in 2/07 mag issue</t>
        </r>
      </text>
    </comment>
    <comment ref="GC213" authorId="0">
      <text>
        <r>
          <rPr>
            <b/>
            <sz val="8"/>
            <color indexed="8"/>
            <rFont val="Arial"/>
            <family val="1"/>
          </rPr>
          <t>1/1/05: new constituent
1/30/07: same as old prod #780</t>
        </r>
      </text>
    </comment>
    <comment ref="HI213" authorId="0">
      <text>
        <r>
          <rPr>
            <b/>
            <sz val="8"/>
            <color indexed="8"/>
            <rFont val="Arial"/>
            <family val="1"/>
          </rPr>
          <t xml:space="preserve">1/1/05: reduced
1/30/07: same as old prod #780
</t>
        </r>
      </text>
    </comment>
    <comment ref="HM213" authorId="0">
      <text>
        <r>
          <rPr>
            <sz val="8"/>
            <rFont val="Arial"/>
            <family val="2"/>
          </rPr>
          <t>1/30/07: same as old prod #780</t>
        </r>
      </text>
    </comment>
    <comment ref="HN213" authorId="0">
      <text>
        <r>
          <rPr>
            <b/>
            <sz val="8"/>
            <color indexed="8"/>
            <rFont val="Arial"/>
            <family val="1"/>
          </rPr>
          <t xml:space="preserve">1/2//05 : total of, not percentage
1/30/07: same as old prod #780
</t>
        </r>
      </text>
    </comment>
    <comment ref="HQ213" authorId="0">
      <text>
        <r>
          <rPr>
            <b/>
            <sz val="8"/>
            <color indexed="8"/>
            <rFont val="Arial"/>
            <family val="1"/>
          </rPr>
          <t>1/1/05: increased amt
1/30/07: using range of “typical distribution” given online; decr from old prod #780</t>
        </r>
      </text>
    </comment>
    <comment ref="HR213" authorId="0">
      <text>
        <r>
          <rPr>
            <b/>
            <sz val="8"/>
            <color indexed="8"/>
            <rFont val="Arial"/>
            <family val="1"/>
          </rPr>
          <t xml:space="preserve">1/1/05: changed qty
1/30/07: using range of “typical distribution” given online
</t>
        </r>
      </text>
    </comment>
    <comment ref="HS213" authorId="0">
      <text>
        <r>
          <rPr>
            <b/>
            <sz val="8"/>
            <color indexed="8"/>
            <rFont val="Arial"/>
            <family val="1"/>
          </rPr>
          <t xml:space="preserve">1/1/05: changed qty
1/30/07: same as old prod #780
</t>
        </r>
      </text>
    </comment>
    <comment ref="HT213" authorId="0">
      <text>
        <r>
          <rPr>
            <b/>
            <sz val="8"/>
            <color indexed="8"/>
            <rFont val="Arial"/>
            <family val="1"/>
          </rPr>
          <t xml:space="preserve">1/1/05: changed qty
1/30/07: using range of “typical distribution” given online
 </t>
        </r>
      </text>
    </comment>
    <comment ref="HY213" authorId="0">
      <text>
        <r>
          <rPr>
            <sz val="8"/>
            <rFont val="Arial"/>
            <family val="2"/>
          </rPr>
          <t>1/30/0: same as old prod #780</t>
        </r>
      </text>
    </comment>
    <comment ref="HZ213" authorId="0">
      <text>
        <r>
          <rPr>
            <sz val="8"/>
            <rFont val="Arial"/>
            <family val="2"/>
          </rPr>
          <t>1/30/0: same as old prod #780</t>
        </r>
      </text>
    </comment>
    <comment ref="A214" authorId="0">
      <text>
        <r>
          <rPr>
            <sz val="8"/>
            <rFont val="Arial"/>
            <family val="2"/>
          </rPr>
          <t>November 2006 added for Paul</t>
        </r>
      </text>
    </comment>
    <comment ref="E214" authorId="0">
      <text>
        <r>
          <rPr>
            <sz val="8"/>
            <color indexed="8"/>
            <rFont val="Arial"/>
            <family val="2"/>
          </rPr>
          <t>10/29/06: reinstituted usage
1/8/08: correction to show actual qty taken</t>
        </r>
      </text>
    </comment>
    <comment ref="II214" authorId="0">
      <text>
        <r>
          <rPr>
            <sz val="10"/>
            <rFont val="Arial"/>
            <family val="2"/>
          </rPr>
          <t>10/29/06: as zinc monomethionine</t>
        </r>
      </text>
    </comment>
    <comment ref="P215" authorId="0">
      <text>
        <r>
          <rPr>
            <sz val="8"/>
            <rFont val="Arial"/>
            <family val="2"/>
          </rPr>
          <t>1/15/08: Aronia (Aronia melanocarpa) extract (fruit) [standardized to 15% anthocyanins (17.25 mg)]</t>
        </r>
      </text>
    </comment>
    <comment ref="BX215" authorId="0">
      <text>
        <r>
          <rPr>
            <sz val="8"/>
            <rFont val="Arial"/>
            <family val="2"/>
          </rPr>
          <t>1/15/08: Green Tea (Camellia sinensis) Decaffeinated extract (leaf) [std. to 45% EGCG by HPLC (45 mg)]</t>
        </r>
      </text>
    </comment>
    <comment ref="FC215" authorId="0">
      <text>
        <r>
          <rPr>
            <sz val="8"/>
            <rFont val="Arial"/>
            <family val="2"/>
          </rPr>
          <t>1/15/08: cocoa [standardized to 45% polyphenols (100 mg)] + Apple (Pyrus malus) Polyphenol extract (skin, root and bark) 30% polyphenols (60 mg)] + Green Tea (Camellia sinensis) Decaffeinated extract (leaf) [std. to 98% polyphenols by UV (98 mg)</t>
        </r>
      </text>
    </comment>
    <comment ref="E216" authorId="0">
      <text>
        <r>
          <rPr>
            <sz val="8"/>
            <rFont val="Arial"/>
            <family val="2"/>
          </rPr>
          <t>11/17/06: reduced from 1 daily
2/7/07: incr; LE Booster prod#980 w/o zeaxanthin</t>
        </r>
      </text>
    </comment>
    <comment ref="DT216" authorId="0">
      <text>
        <r>
          <rPr>
            <b/>
            <sz val="8"/>
            <color indexed="8"/>
            <rFont val="Arial"/>
            <family val="1"/>
          </rPr>
          <t xml:space="preserve">10/12/05: free lutein
</t>
        </r>
      </text>
    </comment>
    <comment ref="IH216" authorId="0">
      <text>
        <r>
          <rPr>
            <b/>
            <sz val="8"/>
            <color indexed="8"/>
            <rFont val="Arial"/>
            <family val="1"/>
          </rPr>
          <t>10/29/06: blend w/ meso-zeanthin (micronized zeaxanthin BioLut Marigold and Lutein Plus w/ MZ Marigold Extract)
10/12/05: decreased product from 5g each</t>
        </r>
      </text>
    </comment>
    <comment ref="E217" authorId="0">
      <text>
        <r>
          <rPr>
            <sz val="8"/>
            <rFont val="Arial"/>
            <family val="2"/>
          </rPr>
          <t>7/7/06: Incr Paul's to same as Kitty;
2/07: 1nf/pf/hs</t>
        </r>
      </text>
    </comment>
    <comment ref="E220" authorId="0">
      <text>
        <r>
          <rPr>
            <sz val="8"/>
            <color indexed="8"/>
            <rFont val="Arial"/>
            <family val="1"/>
          </rPr>
          <t xml:space="preserve">9/16/06: 4 ea meal + 2 HS for elev homocysteine
1/12/06: 2 ea meal + 2 HS
2/1/07: decr from orig 9/06 plan to 2 w/nf, 4w/f, 2HS
</t>
        </r>
        <r>
          <rPr>
            <sz val="8"/>
            <color indexed="8"/>
            <rFont val="Arial"/>
            <family val="2"/>
          </rPr>
          <t xml:space="preserve">6/8/07: reduced from 8; reduce  total pill qty - homocysteine level much better after reduction of meat
9/22/07 PMID 17336420. incr from 2
</t>
        </r>
      </text>
    </comment>
    <comment ref="HU221" authorId="0">
      <text>
        <r>
          <rPr>
            <b/>
            <sz val="8"/>
            <color indexed="8"/>
            <rFont val="Arial"/>
            <family val="1"/>
          </rPr>
          <t>1/1/05: new prod</t>
        </r>
      </text>
    </comment>
    <comment ref="HV221" authorId="0">
      <text>
        <r>
          <rPr>
            <b/>
            <sz val="8"/>
            <color indexed="8"/>
            <rFont val="Arial"/>
            <family val="1"/>
          </rPr>
          <t xml:space="preserve">1/1/05: new prod
</t>
        </r>
      </text>
    </comment>
    <comment ref="HW221" authorId="0">
      <text>
        <r>
          <rPr>
            <b/>
            <sz val="8"/>
            <color indexed="8"/>
            <rFont val="Arial"/>
            <family val="1"/>
          </rPr>
          <t>1/1/05: new prod</t>
        </r>
      </text>
    </comment>
    <comment ref="HX221" authorId="0">
      <text>
        <r>
          <rPr>
            <b/>
            <sz val="8"/>
            <color indexed="8"/>
            <rFont val="Arial"/>
            <family val="1"/>
          </rPr>
          <t xml:space="preserve">1/1/05: new prod
</t>
        </r>
      </text>
    </comment>
    <comment ref="A222" authorId="0">
      <text>
        <r>
          <rPr>
            <b/>
            <sz val="8"/>
            <color indexed="8"/>
            <rFont val="Arial"/>
            <family val="1"/>
          </rPr>
          <t xml:space="preserve">3/28/05: different product – Jarrow
2/3/07: no reorder; reevaluate usage
</t>
        </r>
      </text>
    </comment>
    <comment ref="E222" authorId="0">
      <text>
        <r>
          <rPr>
            <sz val="8"/>
            <rFont val="Arial"/>
            <family val="2"/>
          </rPr>
          <t xml:space="preserve">11/17/06: reduced from 2 daily
</t>
        </r>
        <r>
          <rPr>
            <sz val="8"/>
            <color indexed="8"/>
            <rFont val="Arial"/>
            <family val="1"/>
          </rPr>
          <t xml:space="preserve">2/3/07: no reorder;
 reevaluate usage.
1/8/08: restarted </t>
        </r>
      </text>
    </comment>
    <comment ref="N222" authorId="0">
      <text>
        <r>
          <rPr>
            <b/>
            <sz val="8"/>
            <color indexed="8"/>
            <rFont val="Arial"/>
            <family val="1"/>
          </rPr>
          <t xml:space="preserve">3/29/05: 10% andrographolide
</t>
        </r>
      </text>
    </comment>
    <comment ref="T222" authorId="0">
      <text>
        <r>
          <rPr>
            <b/>
            <sz val="8"/>
            <color indexed="8"/>
            <rFont val="Arial"/>
            <family val="1"/>
          </rPr>
          <t xml:space="preserve">3/29/05: {leaf) 8% withanolides
</t>
        </r>
      </text>
    </comment>
    <comment ref="FO222" authorId="0">
      <text>
        <r>
          <rPr>
            <b/>
            <sz val="8"/>
            <color indexed="8"/>
            <rFont val="Arial"/>
            <family val="1"/>
          </rPr>
          <t xml:space="preserve">3/29/05: 5% rosavins, including 3% minimum Rosavin
</t>
        </r>
      </text>
    </comment>
    <comment ref="GQ222" authorId="0">
      <text>
        <r>
          <rPr>
            <sz val="8"/>
            <color indexed="8"/>
            <rFont val="Arial"/>
            <family val="1"/>
          </rPr>
          <t xml:space="preserve">3/28/05: 45% saponins as furanosterols
</t>
        </r>
      </text>
    </comment>
    <comment ref="A223" authorId="0">
      <text>
        <r>
          <rPr>
            <sz val="8"/>
            <rFont val="Arial"/>
            <family val="2"/>
          </rPr>
          <t>4/7/08: added as reg; was prn for Kitty since 1/08</t>
        </r>
      </text>
    </comment>
    <comment ref="A224" authorId="0">
      <text>
        <r>
          <rPr>
            <b/>
            <sz val="8"/>
            <color indexed="8"/>
            <rFont val="Arial"/>
            <family val="1"/>
          </rPr>
          <t>4/21/04: 2.3 mg vanadim in 7.5mg vanadyl sulfate;
12/05/05: But only VS 5.0 mg /tablet</t>
        </r>
      </text>
    </comment>
    <comment ref="D224" authorId="0">
      <text>
        <r>
          <rPr>
            <b/>
            <sz val="8"/>
            <color indexed="8"/>
            <rFont val="Arial"/>
            <family val="1"/>
          </rPr>
          <t xml:space="preserve">12/05/05: VS 5.0 mg /tablet
</t>
        </r>
      </text>
    </comment>
    <comment ref="E224" authorId="0">
      <text>
        <r>
          <rPr>
            <b/>
            <sz val="8"/>
            <color indexed="8"/>
            <rFont val="Arial"/>
            <family val="1"/>
          </rPr>
          <t xml:space="preserve">7/7/06: Incr Paul's
1/12/06: no wgt ratio change
</t>
        </r>
      </text>
    </comment>
    <comment ref="GV224" authorId="0">
      <text>
        <r>
          <rPr>
            <b/>
            <sz val="8"/>
            <color indexed="8"/>
            <rFont val="Arial"/>
            <family val="1"/>
          </rPr>
          <t>4/21/04: 2.3 mg vanadim in 7.5mg vanadyl sulfate;
12/05/05: But only VS 5.0 mg /tablet</t>
        </r>
      </text>
    </comment>
    <comment ref="A225" authorId="0">
      <text>
        <r>
          <rPr>
            <b/>
            <sz val="8"/>
            <color indexed="8"/>
            <rFont val="Arial"/>
            <family val="1"/>
          </rPr>
          <t>4/21/04: 2.3 mg vanadim in 7.5mg vanadyl sulfate;
12/05/05: But only VS 5.0 mg /tablet</t>
        </r>
      </text>
    </comment>
    <comment ref="D225" authorId="0">
      <text>
        <r>
          <rPr>
            <b/>
            <sz val="8"/>
            <color indexed="8"/>
            <rFont val="Arial"/>
            <family val="1"/>
          </rPr>
          <t xml:space="preserve">12/05/05: VS 5.0 mg /tablet
</t>
        </r>
      </text>
    </comment>
    <comment ref="E225" authorId="0">
      <text>
        <r>
          <rPr>
            <sz val="8"/>
            <color indexed="8"/>
            <rFont val="Arial"/>
            <family val="1"/>
          </rPr>
          <t xml:space="preserve">1/12/06: no wgt ratio change
1/8/08: corrected K's tot from 2 to actual 2 x 2/day
</t>
        </r>
      </text>
    </comment>
    <comment ref="GV225" authorId="0">
      <text>
        <r>
          <rPr>
            <b/>
            <sz val="8"/>
            <color indexed="8"/>
            <rFont val="Arial"/>
            <family val="1"/>
          </rPr>
          <t>4/21/04: 2.3 mg vanadim in 7.5mg vanadyl sulfate;
12/05/05: But only VS 5.0 mg /tablet</t>
        </r>
      </text>
    </comment>
    <comment ref="DD226" authorId="0">
      <text>
        <r>
          <rPr>
            <sz val="8"/>
            <rFont val="Arial"/>
            <family val="2"/>
          </rPr>
          <t>1/8/08:powdered extract yielding 20% (50 mg) triterpene glycosides calculated as escin</t>
        </r>
      </text>
    </comment>
    <comment ref="A227" authorId="0">
      <text>
        <r>
          <rPr>
            <sz val="8"/>
            <color indexed="8"/>
            <rFont val="Arial"/>
            <family val="1"/>
          </rPr>
          <t>2/3/07: no reorder; reevaluate usage;
4/7: cont'd</t>
        </r>
      </text>
    </comment>
    <comment ref="E227" authorId="0">
      <text>
        <r>
          <rPr>
            <sz val="8"/>
            <rFont val="Arial"/>
            <family val="2"/>
          </rPr>
          <t>11/17/06: reduced from 1 daily
2/3/07: no reorder; reevaluate usage</t>
        </r>
      </text>
    </comment>
    <comment ref="A228" authorId="0">
      <text>
        <r>
          <rPr>
            <sz val="8"/>
            <color indexed="8"/>
            <rFont val="Arial"/>
            <family val="1"/>
          </rPr>
          <t xml:space="preserve">9/13/06: Incr amt
1/2/05: decr amt
4/7/08: Incr from 2
</t>
        </r>
      </text>
    </comment>
    <comment ref="A229" authorId="0">
      <text>
        <r>
          <rPr>
            <sz val="8"/>
            <color indexed="8"/>
            <rFont val="Arial"/>
            <family val="1"/>
          </rPr>
          <t xml:space="preserve">1/2/05: decr amt
9/13/06: Incr amt
1/12/08: decr from 2 due to addition of 1000IU in Breast Health
4/7/08: incr from 1
</t>
        </r>
      </text>
    </comment>
    <comment ref="A230" authorId="0">
      <text>
        <r>
          <rPr>
            <b/>
            <sz val="8"/>
            <color indexed="8"/>
            <rFont val="Arial"/>
            <family val="1"/>
          </rPr>
          <t xml:space="preserve">10/2/05: amino acid breakdown not at LEF; using USDA for acid whey per 100g
</t>
        </r>
      </text>
    </comment>
    <comment ref="E230" authorId="0">
      <text>
        <r>
          <rPr>
            <sz val="8"/>
            <rFont val="Arial"/>
            <family val="2"/>
          </rPr>
          <t>4/10/08: corrected formula to correspond w/ usage</t>
        </r>
      </text>
    </comment>
    <comment ref="Q230" authorId="0">
      <text>
        <r>
          <rPr>
            <b/>
            <sz val="8"/>
            <color indexed="8"/>
            <rFont val="Arial"/>
            <family val="1"/>
          </rPr>
          <t>4/27/04: 95% lactoferrin in BioFerrin 1000 (assuming content of Lactoferrin product)</t>
        </r>
      </text>
    </comment>
    <comment ref="BF230" authorId="0">
      <text>
        <r>
          <rPr>
            <b/>
            <sz val="8"/>
            <color indexed="8"/>
            <rFont val="Arial"/>
            <family val="1"/>
          </rPr>
          <t xml:space="preserve">10/2/05: value for cystine as listed in USDA has been doubled since 2 molecules of cystine per cysteine
</t>
        </r>
      </text>
    </comment>
    <comment ref="CU230" authorId="0">
      <text>
        <r>
          <rPr>
            <b/>
            <sz val="8"/>
            <color indexed="8"/>
            <rFont val="Arial"/>
            <family val="1"/>
          </rPr>
          <t xml:space="preserve">10/2/05: as glutamic acid
</t>
        </r>
        <r>
          <rPr>
            <sz val="8"/>
            <color indexed="8"/>
            <rFont val="Arial"/>
            <family val="1"/>
          </rPr>
          <t>(the more correct name for glutamate)
glutamine and glutamic acid are in 1:1 correspondence</t>
        </r>
      </text>
    </comment>
    <comment ref="A231" authorId="0">
      <text>
        <r>
          <rPr>
            <b/>
            <sz val="8"/>
            <color indexed="8"/>
            <rFont val="Arial"/>
            <family val="1"/>
          </rPr>
          <t xml:space="preserve">10/2/05: amino acid breakdown not at LEF; using USDA for acid whey per 100g
</t>
        </r>
      </text>
    </comment>
    <comment ref="E231" authorId="0">
      <text>
        <r>
          <rPr>
            <sz val="8"/>
            <rFont val="Arial"/>
            <family val="2"/>
          </rPr>
          <t>4/10/08: corrected formula to correspond w/ usage</t>
        </r>
      </text>
    </comment>
    <comment ref="Q231" authorId="0">
      <text>
        <r>
          <rPr>
            <b/>
            <sz val="8"/>
            <color indexed="8"/>
            <rFont val="Arial"/>
            <family val="1"/>
          </rPr>
          <t>4/27/04: 95% lactoferrin in BioFerrin 1000 (assuming content of Lactoferrin product)</t>
        </r>
      </text>
    </comment>
    <comment ref="BF231" authorId="0">
      <text>
        <r>
          <rPr>
            <b/>
            <sz val="8"/>
            <color indexed="8"/>
            <rFont val="Arial"/>
            <family val="1"/>
          </rPr>
          <t xml:space="preserve">10/2/05: value for cystine as listed in USDA has been doubled since 2 molecules of cystine per cysteine
</t>
        </r>
      </text>
    </comment>
    <comment ref="CU231" authorId="0">
      <text>
        <r>
          <rPr>
            <b/>
            <sz val="8"/>
            <color indexed="8"/>
            <rFont val="Arial"/>
            <family val="1"/>
          </rPr>
          <t xml:space="preserve">10/2/05: as glutamic acid
</t>
        </r>
        <r>
          <rPr>
            <sz val="8"/>
            <color indexed="8"/>
            <rFont val="Arial"/>
            <family val="1"/>
          </rPr>
          <t>(the more correct name for glutamate)
glutamine and glutamic acid are in 1:1 correspondence</t>
        </r>
      </text>
    </comment>
    <comment ref="BU232" authorId="0">
      <text>
        <r>
          <rPr>
            <sz val="8"/>
            <rFont val="Arial"/>
            <family val="2"/>
          </rPr>
          <t>1/25/08: 0.8% eleutherosides</t>
        </r>
      </text>
    </comment>
    <comment ref="BY232" authorId="0">
      <text>
        <r>
          <rPr>
            <sz val="8"/>
            <rFont val="Arial"/>
            <family val="2"/>
          </rPr>
          <t>1/25/08: AKAHorny goat weed</t>
        </r>
      </text>
    </comment>
    <comment ref="GQ232" authorId="0">
      <text>
        <r>
          <rPr>
            <sz val="8"/>
            <rFont val="Arial"/>
            <family val="2"/>
          </rPr>
          <t>1/25/08: 40% saponins</t>
        </r>
      </text>
    </comment>
    <comment ref="IG232" authorId="0">
      <text>
        <r>
          <rPr>
            <sz val="8"/>
            <rFont val="Arial"/>
            <family val="2"/>
          </rPr>
          <t>1/25/08: as Yohimbe bark powder</t>
        </r>
      </text>
    </comment>
    <comment ref="E239" authorId="0">
      <text>
        <r>
          <rPr>
            <sz val="8"/>
            <rFont val="Arial"/>
            <family val="2"/>
          </rPr>
          <t>9/5/07: stopped &amp; trying to balance w/ rhubarb version Meal Cocktail</t>
        </r>
      </text>
    </comment>
    <comment ref="E250" authorId="0">
      <text>
        <r>
          <rPr>
            <b/>
            <sz val="8"/>
            <color indexed="8"/>
            <rFont val="Arial"/>
            <family val="1"/>
          </rPr>
          <t xml:space="preserve">1/11/06: 7mg (7000mcg) nominal daily for mix yielding .38g for 30 day mix
</t>
        </r>
      </text>
    </comment>
    <comment ref="E251" authorId="0">
      <text>
        <r>
          <rPr>
            <b/>
            <sz val="8"/>
            <color indexed="8"/>
            <rFont val="Arial"/>
            <family val="1"/>
          </rPr>
          <t>1/11/06: 7mg (7000mcg) nominal daily for mix yielding .38g for 30 day mix</t>
        </r>
      </text>
    </comment>
    <comment ref="E254" authorId="0">
      <text>
        <r>
          <rPr>
            <sz val="8"/>
            <rFont val="Arial"/>
            <family val="2"/>
          </rPr>
          <t xml:space="preserve">1/07: incr from2 daily; NF &amp; F to 1HS too
5/1/08: replaced plain w/ ER; using plain at F until stock used up then </t>
        </r>
      </text>
    </comment>
    <comment ref="E255" authorId="0">
      <text>
        <r>
          <rPr>
            <sz val="8"/>
            <rFont val="Arial"/>
            <family val="2"/>
          </rPr>
          <t>1/07: incr from1.5 daily; NF &amp; F
5/1/08: replace NF w/ ER keeping F to use up stock of plain;
6/30/08: delete F and add ER at HS</t>
        </r>
      </text>
    </comment>
    <comment ref="E256" authorId="0">
      <text>
        <r>
          <rPr>
            <sz val="8"/>
            <rFont val="Arial"/>
            <family val="2"/>
          </rPr>
          <t>10/6/07: increased from 360mg daily – in meal cocktail</t>
        </r>
      </text>
    </comment>
    <comment ref="E257" authorId="0">
      <text>
        <r>
          <rPr>
            <sz val="8"/>
            <rFont val="Arial"/>
            <family val="2"/>
          </rPr>
          <t>10/6/07: increased from 240mg daily – in meal cocktail</t>
        </r>
      </text>
    </comment>
    <comment ref="FE260" authorId="0">
      <text>
        <r>
          <rPr>
            <sz val="8"/>
            <rFont val="Arial"/>
            <family val="2"/>
          </rPr>
          <t>6/19/07: each 5 ml (1 tsp)= .66g potassium</t>
        </r>
      </text>
    </comment>
    <comment ref="FE261" authorId="0">
      <text>
        <r>
          <rPr>
            <sz val="8"/>
            <rFont val="Arial"/>
            <family val="2"/>
          </rPr>
          <t>6/19/07: each 5 ml (1 tsp)= .66g potassium</t>
        </r>
      </text>
    </comment>
    <comment ref="E262" authorId="0">
      <text>
        <r>
          <rPr>
            <b/>
            <sz val="8"/>
            <color indexed="8"/>
            <rFont val="Arial"/>
            <family val="1"/>
          </rPr>
          <t xml:space="preserve">5/12/06: decr; neuropathy in Paul's finger
1/11/06: increased
</t>
        </r>
      </text>
    </comment>
    <comment ref="E263" authorId="0">
      <text>
        <r>
          <rPr>
            <b/>
            <sz val="8"/>
            <color indexed="8"/>
            <rFont val="Arial"/>
            <family val="1"/>
          </rPr>
          <t xml:space="preserve">5/16/06: decr from 600; neuroapthy in Paul's finger
1/11/06: increased
</t>
        </r>
      </text>
    </comment>
    <comment ref="E265" authorId="0">
      <text>
        <r>
          <rPr>
            <sz val="8"/>
            <rFont val="Arial"/>
            <family val="2"/>
          </rPr>
          <t>1/8/08: Kitty's separate MC pwdr w/ no rhubarb has no RLA (used up)</t>
        </r>
      </text>
    </comment>
    <comment ref="E269" authorId="0">
      <text>
        <r>
          <rPr>
            <sz val="8"/>
            <rFont val="Arial"/>
            <family val="2"/>
          </rPr>
          <t>1/2/08: separate MC pwdr w/o rhubarb – IR symps again</t>
        </r>
      </text>
    </comment>
    <comment ref="I273" authorId="0">
      <text>
        <r>
          <rPr>
            <b/>
            <sz val="8"/>
            <color indexed="8"/>
            <rFont val="Arial"/>
            <family val="1"/>
          </rPr>
          <t xml:space="preserve">1/2/05: mushroom mycelium extract
</t>
        </r>
      </text>
    </comment>
    <comment ref="AD273" authorId="0">
      <text>
        <r>
          <rPr>
            <b/>
            <sz val="8"/>
            <color indexed="8"/>
            <rFont val="Arial"/>
            <family val="1"/>
          </rPr>
          <t>1/12/06: Includes hesperidin, eriocitrin, naringen and
naringenin</t>
        </r>
      </text>
    </comment>
    <comment ref="BZ273" authorId="0">
      <text>
        <r>
          <rPr>
            <b/>
            <sz val="8"/>
            <color indexed="8"/>
            <rFont val="Arial"/>
            <family val="1"/>
          </rPr>
          <t>1/1/05: contains Naringen(in), Naringenin, &amp; Eriocintrin 
&amp; 7-B rutinoside (Hesperidin listed separately)</t>
        </r>
      </text>
    </comment>
    <comment ref="DW273" authorId="0">
      <text>
        <r>
          <rPr>
            <sz val="10"/>
            <rFont val="Arial"/>
            <family val="2"/>
          </rPr>
          <t>also known as Peruvian ginseng</t>
        </r>
      </text>
    </comment>
    <comment ref="ER273" authorId="0">
      <text>
        <r>
          <rPr>
            <sz val="10"/>
            <rFont val="Arial"/>
            <family val="2"/>
          </rPr>
          <t>Product name Bioperine</t>
        </r>
      </text>
    </comment>
    <comment ref="FB273" authorId="0">
      <text>
        <r>
          <rPr>
            <b/>
            <sz val="8"/>
            <color indexed="8"/>
            <rFont val="Arial"/>
            <family val="1"/>
          </rPr>
          <t>4/25/04: enhanced octacosanol extract</t>
        </r>
      </text>
    </comment>
    <comment ref="FO273" authorId="0">
      <text>
        <r>
          <rPr>
            <b/>
            <sz val="8"/>
            <color indexed="8"/>
            <rFont val="Arial"/>
            <family val="1"/>
          </rPr>
          <t>1/2/05: standardized to 3% rosavins &amp; 1% salidrosides</t>
        </r>
      </text>
    </comment>
    <comment ref="GH273" authorId="0">
      <text>
        <r>
          <rPr>
            <b/>
            <sz val="8"/>
            <color indexed="8"/>
            <rFont val="Arial"/>
            <family val="1"/>
          </rPr>
          <t xml:space="preserve">1/2/05: wheat sprout concentrate
</t>
        </r>
      </text>
    </comment>
    <comment ref="GL273" authorId="0">
      <text>
        <r>
          <rPr>
            <sz val="10"/>
            <rFont val="Arial"/>
            <family val="2"/>
          </rPr>
          <t>7/7/06: standardized to 13% isoflavones (52 mg), 18% Group-B Saponins (72 mg)</t>
        </r>
      </text>
    </comment>
    <comment ref="HX273" authorId="0">
      <text>
        <r>
          <rPr>
            <b/>
            <sz val="8"/>
            <color indexed="8"/>
            <rFont val="Arial"/>
            <family val="1"/>
          </rPr>
          <t>4/25/04: 0.3  relative Vit E acitivity (Ius)</t>
        </r>
      </text>
    </comment>
  </commentList>
</comments>
</file>

<file path=xl/sharedStrings.xml><?xml version="1.0" encoding="utf-8"?>
<sst xmlns="http://schemas.openxmlformats.org/spreadsheetml/2006/main" count="1059" uniqueCount="599">
  <si>
    <t>ITEM</t>
  </si>
  <si>
    <t>Supplier</t>
  </si>
  <si>
    <t>Prod #</t>
  </si>
  <si>
    <t>HOW SUPPLIED [amt]</t>
  </si>
  <si>
    <t>Per person "daily" Qty</t>
  </si>
  <si>
    <t>5-Loxin [mg]</t>
  </si>
  <si>
    <t>Acai [mg]</t>
  </si>
  <si>
    <t>Acerola juice powder [mg]</t>
  </si>
  <si>
    <t>AHCC [mg]</t>
  </si>
  <si>
    <t>Alanine [mg]</t>
  </si>
  <si>
    <t>Allicin [mcg]</t>
  </si>
  <si>
    <t>Alpha Carotene [mcg]</t>
  </si>
  <si>
    <t>Amylase, Protease, Cellulase &amp; Lipase (tot) [mg]</t>
  </si>
  <si>
    <t>Andrograph extract (Andrographis paniculata)</t>
  </si>
  <si>
    <t>Anthocyanidins [mg]</t>
  </si>
  <si>
    <t>Anthocyanins [mg]</t>
  </si>
  <si>
    <t>Apolactoferrim (from bovine whey) [mg]</t>
  </si>
  <si>
    <t>Arginine [mg]</t>
  </si>
  <si>
    <t>Artichoke (cynara scolymus)  leaf pwdr &amp; extract [mg]</t>
  </si>
  <si>
    <t>Ashwagandha extract (root &amp; leaves; Withania somnifera)  [mg]</t>
  </si>
  <si>
    <t>Aspartic acid [mg]</t>
  </si>
  <si>
    <t>Aspirin [mg]</t>
  </si>
  <si>
    <t>Astaxanthin [mcg]</t>
  </si>
  <si>
    <t>Astragalocides [mg]</t>
  </si>
  <si>
    <t>Avena Sativa [mg]</t>
  </si>
  <si>
    <t>Barley Sprout powder [mg]</t>
  </si>
  <si>
    <t>Beta-Carotene [IU]</t>
  </si>
  <si>
    <t>Beta Glucan [mg]</t>
  </si>
  <si>
    <t>BHA &amp; BHT [mg]</t>
  </si>
  <si>
    <t>Bioflavanoids, Total</t>
  </si>
  <si>
    <t>Biotin [mcg]</t>
  </si>
  <si>
    <t>Black cohosh extract, pwd'd (Cimiicifuga racemosa) w.5% triterpene glycosides [mg]</t>
  </si>
  <si>
    <t>Boron [mg]</t>
  </si>
  <si>
    <t>Broccoli concentrate (source of sulforaphane) [mg]</t>
  </si>
  <si>
    <t>Bromelain [mg]</t>
  </si>
  <si>
    <t>Calcium [mg]</t>
  </si>
  <si>
    <t>Calendula officinalis (marigold) [mg]</t>
  </si>
  <si>
    <t>Acetyl-L-carnitine [mg] from ALC Hcl</t>
  </si>
  <si>
    <t>Acetyl-L-carnitine [mg] from arginate di Hcl</t>
  </si>
  <si>
    <t>Propionyl-L-Carnitine [mg] from glyciine PLC Hcl</t>
  </si>
  <si>
    <t>Carnosine [mg]</t>
  </si>
  <si>
    <t>Cat's Claw (Uncaria tomentosa) (inner bark)  [mg]</t>
  </si>
  <si>
    <t>Polyphenol catechins (other)  [mg]</t>
  </si>
  <si>
    <t>Cernitin [mg]</t>
  </si>
  <si>
    <t>Chlorogenic acid [mg]</t>
  </si>
  <si>
    <t>Chlorophyllin [mg]</t>
  </si>
  <si>
    <t>Choline [mg]</t>
  </si>
  <si>
    <t>Chromium (from polynicotinate) [mcg]</t>
  </si>
  <si>
    <t>Chrysin [mg]</t>
  </si>
  <si>
    <t>Cinnamon water extract [mg]</t>
  </si>
  <si>
    <t>Cocoa extract (as Cocoa Gold) [mg]</t>
  </si>
  <si>
    <t>Coenzyme Q10 [mg]</t>
  </si>
  <si>
    <t>Copper (amino acid chelate) [mg]</t>
  </si>
  <si>
    <t>Corosolic acid [mg]</t>
  </si>
  <si>
    <t>Cranberry concentrate [mg]</t>
  </si>
  <si>
    <t>Creatine monohydrate [mg]</t>
  </si>
  <si>
    <t>Curcuminoids (from turmeric) [mg]</t>
  </si>
  <si>
    <t>Cysteine [mg]</t>
  </si>
  <si>
    <t>N-acetyl-cysteine [mg]</t>
  </si>
  <si>
    <t>cytidine-5-diphophocholine (CDP choline) [mg]</t>
  </si>
  <si>
    <t>Daidzein &amp; precursor isoform daidzin [mg]</t>
  </si>
  <si>
    <t>Damina leaf &amp; stem [mg]</t>
  </si>
  <si>
    <t>Deprenyl [mg]</t>
  </si>
  <si>
    <t>DHA (docosahexaenoic acid) [mg]</t>
  </si>
  <si>
    <t>DHEA (dehydroepiandrosterone) [mg]</t>
  </si>
  <si>
    <t>DHEA -7-Keto [mg]</t>
  </si>
  <si>
    <t>Dilaurylthiodipropionate [mg]</t>
  </si>
  <si>
    <t>DIM (Di-indolyl-methane) [mg]</t>
  </si>
  <si>
    <t>DMAE powder (37%) [mg]</t>
  </si>
  <si>
    <t xml:space="preserve">Dong quai extract, pwd'd (Angelica sinensis) 1% Ligustilide [mg] </t>
  </si>
  <si>
    <t>EDTA [mg]</t>
  </si>
  <si>
    <t>Ellagic acid (32% from rasberry &amp; pomegranate extract) [mg]</t>
  </si>
  <si>
    <t>Eleuthero (Eleutherococcus senticosus) root extract [mg]</t>
  </si>
  <si>
    <t>Enzogenol (New Zeland pinebark extract) [mg]</t>
  </si>
  <si>
    <t>EPA (eicosapentaenoic acid) [mg]</t>
  </si>
  <si>
    <t>Epigallocatechin gallate (EGCG) [mg]</t>
  </si>
  <si>
    <t>Epimedium extract (epimedium sagittatum) [mg[</t>
  </si>
  <si>
    <t>Flavanols &amp; Flavanones [mg]</t>
  </si>
  <si>
    <t>Flavonols &amp; Flavones [mg]</t>
  </si>
  <si>
    <t>Folic acid [mcg]</t>
  </si>
  <si>
    <t>Forskolin [mg]</t>
  </si>
  <si>
    <t>Fo-Ti Powder (Polyganum multiflorum -root) [mg]</t>
  </si>
  <si>
    <t>Fruitberry Complex [mg]</t>
  </si>
  <si>
    <t>GABA (gamma-amino butyric acid) [mg]</t>
  </si>
  <si>
    <t>N-acetyl-galactosamine [mg]</t>
  </si>
  <si>
    <t>Gallic acid  [mg]</t>
  </si>
  <si>
    <t>Garlic, aged extract powder [mg]</t>
  </si>
  <si>
    <t>Genistein &amp; precursor isoform genistin [mg]</t>
  </si>
  <si>
    <t>Ginger (Zingber officinale) extract (5% gingerols) [mg]</t>
  </si>
  <si>
    <t>Gingko Biloba (24% glycosides, 6% T. Lactones) [mg]</t>
  </si>
  <si>
    <t>Ginseng (Panax), whole root equiv [mg]</t>
  </si>
  <si>
    <t>Ginseng, Siberian root [mg]</t>
  </si>
  <si>
    <t>GLA (gamma-linolenic acid) [mg]</t>
  </si>
  <si>
    <t>D-glucarate [mg]</t>
  </si>
  <si>
    <t>Superoxide Dismutase/Gliadin Complex (GliSODin®) [mg]</t>
  </si>
  <si>
    <t>Glucosamine, N-acetyl [mg]</t>
  </si>
  <si>
    <t>Glucosamine, sulfate [mg]</t>
  </si>
  <si>
    <t>Glucuronic acid [mg]</t>
  </si>
  <si>
    <t>Glutamine [mg]</t>
  </si>
  <si>
    <t>Glycerylphosphorylcholine (GPC) [mg]</t>
  </si>
  <si>
    <t>Glycine [mg]</t>
  </si>
  <si>
    <t>Glycine Propionyl-L-Carnitine Hcl [mg]</t>
  </si>
  <si>
    <t>Glycitein &amp; precursor isoform glycitin [mg]</t>
  </si>
  <si>
    <t>Grifola Frondosa [mg]</t>
  </si>
  <si>
    <t>HCA (hydroxycitric acid) [mg]</t>
  </si>
  <si>
    <t>Hesperidins [mg]</t>
  </si>
  <si>
    <t>Histidine [mg]</t>
  </si>
  <si>
    <t>Horse Chestnut seed (Aesculus hippocastanum) [mg]</t>
  </si>
  <si>
    <t>Indole-3-Carbinol [mg]</t>
  </si>
  <si>
    <t>Inosine (hypoxanthine ribose) [mg]</t>
  </si>
  <si>
    <t>Inositol [mg]</t>
  </si>
  <si>
    <t>IP-6 (Inositol heaphosphate) [mg]</t>
  </si>
  <si>
    <t>Iodine (potassium iodide) [mcg]</t>
  </si>
  <si>
    <t>Ipriflavone 97-isopropoxyflavone [mg]</t>
  </si>
  <si>
    <t>Iron [mg]</t>
  </si>
  <si>
    <t>L-isoleucine [mg]</t>
  </si>
  <si>
    <t>L-leucine [mg]</t>
  </si>
  <si>
    <t>L-Lysine [mg]</t>
  </si>
  <si>
    <t>L-methylfolate [mcg]</t>
  </si>
  <si>
    <t>L-trypophan [mg]</t>
  </si>
  <si>
    <t>Licorice root (Glycyrrhiza glabra) [mg]</t>
  </si>
  <si>
    <t>d-Limonene [mg]</t>
  </si>
  <si>
    <t>Lemon balm (Melissa officinalis) [mg]</t>
  </si>
  <si>
    <t>Lutein [mg]</t>
  </si>
  <si>
    <t>Luteolin [mg]</t>
  </si>
  <si>
    <t>Lycopene (tomato extract) [mg]</t>
  </si>
  <si>
    <t>Maca (Lepidium meyenii) (root) [mg]</t>
  </si>
  <si>
    <t>Magnesium (elemental) [mg]</t>
  </si>
  <si>
    <t>Manganese (elemental) [mg]</t>
  </si>
  <si>
    <t>Melatonin [mg]</t>
  </si>
  <si>
    <t>Metformin (mg)</t>
  </si>
  <si>
    <t>Methionine [mg]</t>
  </si>
  <si>
    <t>Methyl-sulfonyl-methane (MSM) [mg]</t>
  </si>
  <si>
    <t>Molybdenum (sodium molybdate) [mcg]</t>
  </si>
  <si>
    <t>Muira puama (Ptychopetalum olacoides), powdered extract (stem) [mg]</t>
  </si>
  <si>
    <t>Nettle leaf, concentrated extract  (urtica diocia) [mg]</t>
  </si>
  <si>
    <t>Nettle root extract [mg]</t>
  </si>
  <si>
    <t>Nexrutine (Phellodendron amurense) [mg]</t>
  </si>
  <si>
    <t>Noni (Morinda citrifolia) [mg]</t>
  </si>
  <si>
    <t>Norway spruce (Picea abies) lignan extract (knot wood)[mg]</t>
  </si>
  <si>
    <t>Olive fruit extract [mg]</t>
  </si>
  <si>
    <t>Olive leaf extract [mg]</t>
  </si>
  <si>
    <t>Origanum vulgare [mg]</t>
  </si>
  <si>
    <t>Ornithine [gm]</t>
  </si>
  <si>
    <t>Ornithine alpha-ketoglutamate [mg]</t>
  </si>
  <si>
    <t>PABA 9paraaminobenzoic acid) [mg]</t>
  </si>
  <si>
    <t>PEAK ATP [mg]</t>
  </si>
  <si>
    <t>Peperine (from black pepper [mg]</t>
  </si>
  <si>
    <t>Phenylalanine [mg]</t>
  </si>
  <si>
    <t>Phosphatidic acid [mg]</t>
  </si>
  <si>
    <t>Phosphatidylcholine [mg]</t>
  </si>
  <si>
    <t>Phophatidylethanolamine [mg]</t>
  </si>
  <si>
    <t>Phosphatidylinositol [mg]</t>
  </si>
  <si>
    <t>Phosphatidylserine [mg]</t>
  </si>
  <si>
    <t>Phosphorous [mg]</t>
  </si>
  <si>
    <t>Phytosterols [mg]</t>
  </si>
  <si>
    <t>Piperine (black powder extract) [mg]</t>
  </si>
  <si>
    <t>Policosanol [10mg]</t>
  </si>
  <si>
    <t>Polyphenols (Total) [mg]</t>
  </si>
  <si>
    <t>Pomegranate extract [mg]</t>
  </si>
  <si>
    <t>Potassium (elemental) [mg]</t>
  </si>
  <si>
    <t>PPC (polyenylphosphatidycholine)  [mg]</t>
  </si>
  <si>
    <t>Pregnenolone [mg]</t>
  </si>
  <si>
    <t>Proanthocyanidins [mg]</t>
  </si>
  <si>
    <t>Proline [mg]</t>
  </si>
  <si>
    <t>L-Pyroglutamic acid [mg]</t>
  </si>
  <si>
    <t>Pyruvate [mg]</t>
  </si>
  <si>
    <t>Quercetin [mg]</t>
  </si>
  <si>
    <t>r-Lipoic Acid [mg]</t>
  </si>
  <si>
    <t>Resveratrol [mg]</t>
  </si>
  <si>
    <t>Rhodiola root extract [mg]</t>
  </si>
  <si>
    <t>D-Ribose [mcg]</t>
  </si>
  <si>
    <t>RNA (ribonucleic acid) powder [mg]</t>
  </si>
  <si>
    <t>Rose Hips [mg]</t>
  </si>
  <si>
    <t>Rosmarinus officinalis [mg]</t>
  </si>
  <si>
    <t>Rutin [mg]</t>
  </si>
  <si>
    <t>S-Adenosyl-Methionine [mg]</t>
  </si>
  <si>
    <t>Saw Palmetto berry [mg]</t>
  </si>
  <si>
    <t>Sea Buckthorn (Hippophae rhamnoides) [mg]</t>
  </si>
  <si>
    <t>Selenium (Selenodiglutathione) [mcg]</t>
  </si>
  <si>
    <t>Selenium (L-se-Methylselenocysteine) [mcg]</t>
  </si>
  <si>
    <t>Selenium (selenomethionine) [mcg]</t>
  </si>
  <si>
    <t>Selenium (sodium selenate) [mcg]</t>
  </si>
  <si>
    <t>Serine [mg]</t>
  </si>
  <si>
    <t>Sesame lignans (60% sesamin) [mg]</t>
  </si>
  <si>
    <t>Silibinin [mg]</t>
  </si>
  <si>
    <t>(Iso)Silybinin-B [mg]</t>
  </si>
  <si>
    <t>Silicon [mg]</t>
  </si>
  <si>
    <t>Silymarin [mg]</t>
  </si>
  <si>
    <t>SODzyme [mg]</t>
  </si>
  <si>
    <t>Sodium [mg]</t>
  </si>
  <si>
    <t>Soy, fermented  (soynatto) [mg]</t>
  </si>
  <si>
    <t>Soy Natto extract 2000 units nattokinase</t>
  </si>
  <si>
    <t>Soy Select Soybean 70:1 extract [mg]</t>
  </si>
  <si>
    <t>Taurine [mg]</t>
  </si>
  <si>
    <t>L-Theanine [mg]</t>
  </si>
  <si>
    <t>Thiodipropionic acid [mg]</t>
  </si>
  <si>
    <t>Threonine [mg]</t>
  </si>
  <si>
    <t>Tribulus terrestris [mg]</t>
  </si>
  <si>
    <t>Trimethylglycine (TMG) [mg]</t>
  </si>
  <si>
    <t>Tryptophan [mg]</t>
  </si>
  <si>
    <t>L-Tyrosine [mg]</t>
  </si>
  <si>
    <t>L-valine [mg]</t>
  </si>
  <si>
    <t>Vanadium [mg]</t>
  </si>
  <si>
    <t>Vinpocetine [mg]</t>
  </si>
  <si>
    <t>Vitamin A (retinol acetate) [IU]</t>
  </si>
  <si>
    <t>Vitamin B1 (Benfotiamine) [mg]</t>
  </si>
  <si>
    <t>Vitamin B1 (thiamine) [mg]</t>
  </si>
  <si>
    <t>Vitamin B2 (riboflavin) [mg]</t>
  </si>
  <si>
    <t>Vitamin B3 (Niacin) [mg]</t>
  </si>
  <si>
    <t>Vitamin B3 (Niacinamide)  [mg]</t>
  </si>
  <si>
    <t>Vitamin B5 (Pantethine) ([mg]</t>
  </si>
  <si>
    <t>Vitamin B5 (from calcium pantothenate) [mg]</t>
  </si>
  <si>
    <t>Vitamin B6 (Pyrridoxal 5-phosphate) [mg]</t>
  </si>
  <si>
    <t>Vitamin B6 (Pyridoxamine) [mg]</t>
  </si>
  <si>
    <t>Vitamin B6 (pyidoxine) [mg]</t>
  </si>
  <si>
    <t>Vitamin B12 (cyanocobalamin) [mcg]</t>
  </si>
  <si>
    <t>Vitamin B12 (hydroxyl cobalamin) [mcg]</t>
  </si>
  <si>
    <t>Vitamin B12 (methylcobalamin) [mcg]</t>
  </si>
  <si>
    <t>Vitamin B12 (ion exchange resin) [mcg]</t>
  </si>
  <si>
    <t>Vitamin C (ascorbic acid, Ca, Mg, niacinamide, ascorbate, acerola juice powder) [mg]</t>
  </si>
  <si>
    <t>Vitamin C (Ascorbyl Palmitate 42% Vit C) [mg]</t>
  </si>
  <si>
    <t>Vitamin D3 (Cholecalciferol) [IU]</t>
  </si>
  <si>
    <t>Vitamin E (d-alpha tocopherol succinate) [IU]</t>
  </si>
  <si>
    <t>Vitamin E (d-alpha tocopherol) [IU]</t>
  </si>
  <si>
    <t>Vitamin E (Gamma tocopherol) [mg]</t>
  </si>
  <si>
    <t>Vitamin E (delta tcopherol) [mg]</t>
  </si>
  <si>
    <t>Viatmin E (beta tocopherol) [mg]</t>
  </si>
  <si>
    <t>Vitamin E (gamma tocotrienol) [mg]</t>
  </si>
  <si>
    <t>Vitamin E (Delta tocotrienol) [mg]</t>
  </si>
  <si>
    <t>Vitamin E (Alpha tocotrienol) [mg]</t>
  </si>
  <si>
    <t>Vitamin E (Beta tocotrienol) [mg]</t>
  </si>
  <si>
    <t>Vitamin K1 [mg]</t>
  </si>
  <si>
    <t>Vitamin K2 [mg]</t>
  </si>
  <si>
    <t>Vitex extract, pwd'd (Vitex agnus-castus) 5% vitexicarpin [mg]</t>
  </si>
  <si>
    <t>Wasabi powder [mg]</t>
  </si>
  <si>
    <t>Watercress extract (4:1) [mg]</t>
  </si>
  <si>
    <t>Whey Protein Hydrolysate [mg]</t>
  </si>
  <si>
    <t>Whey Protein isolate [mg]</t>
  </si>
  <si>
    <t>Wolfberry (Lycium barbarum) extrace [mg]</t>
  </si>
  <si>
    <t>Yohimbine [mg]</t>
  </si>
  <si>
    <t>Zeaxanthin [mcg]</t>
  </si>
  <si>
    <t>Zinc (elemental) [mg]</t>
  </si>
  <si>
    <t>5-Loxin</t>
  </si>
  <si>
    <t>75 mg, 100 caps</t>
  </si>
  <si>
    <t>Acai Fruit</t>
  </si>
  <si>
    <t>500mg, 60 caps</t>
  </si>
  <si>
    <t>Acetyl-l-carnitine, Optimized w/ Glycocarn</t>
  </si>
  <si>
    <t>60 capsules</t>
  </si>
  <si>
    <t>AHCC</t>
  </si>
  <si>
    <t>500 mg, 30 caps</t>
  </si>
  <si>
    <t>Arthromax w/ Fruitex B</t>
  </si>
  <si>
    <t>120 capsules</t>
  </si>
  <si>
    <t>ArthroPro</t>
  </si>
  <si>
    <t xml:space="preserve">Artichoke Leaf Extract </t>
  </si>
  <si>
    <t>300 mg</t>
  </si>
  <si>
    <t>Ashwagandha Extract</t>
  </si>
  <si>
    <t>125 mg, 60 caps</t>
  </si>
  <si>
    <t>Astaxanthin</t>
  </si>
  <si>
    <t>4 mg, 60 softgels</t>
  </si>
  <si>
    <t>Astraglus Root alcohol-free</t>
  </si>
  <si>
    <t>60 ml; 30 gtts/svg</t>
  </si>
  <si>
    <t>Astragalus Root Extract</t>
  </si>
  <si>
    <t>450mg, 60 caps</t>
  </si>
  <si>
    <t>?</t>
  </si>
  <si>
    <t>Avena Sativa</t>
  </si>
  <si>
    <t>492mg</t>
  </si>
  <si>
    <t>B1 Caps</t>
  </si>
  <si>
    <t>500mg</t>
  </si>
  <si>
    <t>B2 Caps</t>
  </si>
  <si>
    <t>100mg</t>
  </si>
  <si>
    <t>Benfotiamine, Mega (w/ Thiamine)</t>
  </si>
  <si>
    <t>250 mg, 120 caps</t>
  </si>
  <si>
    <t xml:space="preserve">Bilberry Extract </t>
  </si>
  <si>
    <t>100 mg</t>
  </si>
  <si>
    <t>Biosil</t>
  </si>
  <si>
    <t>5mg, 30 caps</t>
  </si>
  <si>
    <t>Biotin 1%</t>
  </si>
  <si>
    <t>30 grams</t>
  </si>
  <si>
    <t>Blueberry Extract w/ Pomegranate</t>
  </si>
  <si>
    <t>60 caps</t>
  </si>
  <si>
    <t xml:space="preserve">Bone Restore </t>
  </si>
  <si>
    <t>150 capsules</t>
  </si>
  <si>
    <t>Branched Chain Amino Acids</t>
  </si>
  <si>
    <t>90 capsules</t>
  </si>
  <si>
    <t>Breast Health</t>
  </si>
  <si>
    <t>Bromelain</t>
  </si>
  <si>
    <t>60 tabs</t>
  </si>
  <si>
    <t>Calcium Pyruvate</t>
  </si>
  <si>
    <t>750 mg</t>
  </si>
  <si>
    <t>CarnoSoothe</t>
  </si>
  <si>
    <t>Cat's Claw, Optimized</t>
  </si>
  <si>
    <t>350mg, 60 caps</t>
  </si>
  <si>
    <t>CDP Choline</t>
  </si>
  <si>
    <t>250mg</t>
  </si>
  <si>
    <t>Cellforte W/IP6/Inositol</t>
  </si>
  <si>
    <t>400/110</t>
  </si>
  <si>
    <t>Chlorophyllin w/ zinc</t>
  </si>
  <si>
    <t>100/10 mg, 100 caps</t>
  </si>
  <si>
    <t xml:space="preserve">Choline Bitartrate </t>
  </si>
  <si>
    <t>300 grams</t>
  </si>
  <si>
    <t>Chondroitin Sulfate</t>
  </si>
  <si>
    <t>400 mg, 60 caps</t>
  </si>
  <si>
    <t>CinnulinPF</t>
  </si>
  <si>
    <t>Citrus Bio-Flavanoid</t>
  </si>
  <si>
    <t>100 capsules</t>
  </si>
  <si>
    <t>Cognitex &amp; Neruo Protec w/o Pregnenelone</t>
  </si>
  <si>
    <t>Cran Max</t>
  </si>
  <si>
    <t>500 mg</t>
  </si>
  <si>
    <t>Creatine Micronized</t>
  </si>
  <si>
    <t>325 grams</t>
  </si>
  <si>
    <t>Curcumin, Super bioactive</t>
  </si>
  <si>
    <t>400 mg, 60 capsules</t>
  </si>
  <si>
    <t>DHEA</t>
  </si>
  <si>
    <t>50 mg, 60 caps</t>
  </si>
  <si>
    <t>25 mg, 60 caps</t>
  </si>
  <si>
    <t>DHEA Complete</t>
  </si>
  <si>
    <t>25 mg/100mg caps</t>
  </si>
  <si>
    <t>Digestive Enzymes</t>
  </si>
  <si>
    <t>100 caps</t>
  </si>
  <si>
    <t>Dilauryl Thiodipropionate</t>
  </si>
  <si>
    <t>100 grams pwdr</t>
  </si>
  <si>
    <t>Di-Ribose</t>
  </si>
  <si>
    <t>150 grams</t>
  </si>
  <si>
    <t>DMAE powder (37%)</t>
  </si>
  <si>
    <t>100 grams</t>
  </si>
  <si>
    <t>DNA Protection Formula</t>
  </si>
  <si>
    <t>Dual Action Cruciferous Veg Extract w/ Rsv &amp; CC</t>
  </si>
  <si>
    <t>Echinacea</t>
  </si>
  <si>
    <t>250mg, 60 capsules</t>
  </si>
  <si>
    <t>Endothelial Defense w/ GlySodin</t>
  </si>
  <si>
    <t xml:space="preserve">Ester C </t>
  </si>
  <si>
    <t>1000 mg</t>
  </si>
  <si>
    <t>Ester C</t>
  </si>
  <si>
    <t>Fibrinogen Resist</t>
  </si>
  <si>
    <t>30 caps</t>
  </si>
  <si>
    <t>Folic Acid (0.13% pure)</t>
  </si>
  <si>
    <t>30 grams  (0.13%)</t>
  </si>
  <si>
    <t>Forskolin</t>
  </si>
  <si>
    <t>10mg</t>
  </si>
  <si>
    <t>Fo-Ti</t>
  </si>
  <si>
    <t>BN</t>
  </si>
  <si>
    <t>NOW</t>
  </si>
  <si>
    <t xml:space="preserve">GABA powder </t>
  </si>
  <si>
    <t>Gamma E Tocopherol w/sesame lignans</t>
  </si>
  <si>
    <t>60 softgels</t>
  </si>
  <si>
    <t xml:space="preserve">Ginkgo Biloba Capsules </t>
  </si>
  <si>
    <t>120 mg, 325 caps</t>
  </si>
  <si>
    <t>GlucoFit</t>
  </si>
  <si>
    <t>24mg</t>
  </si>
  <si>
    <t>Goldenseal</t>
  </si>
  <si>
    <t>350 mg</t>
  </si>
  <si>
    <t>prn</t>
  </si>
  <si>
    <t>Gotu-Kola (Centella asiatica)</t>
  </si>
  <si>
    <t>475 mg, 90 caps</t>
  </si>
  <si>
    <t>Grape Extract, whole w/ resveratrol</t>
  </si>
  <si>
    <t>HCA</t>
  </si>
  <si>
    <t>250 mg, 90 capsules</t>
  </si>
  <si>
    <t>Hepatapro (GastroPro)</t>
  </si>
  <si>
    <t>Hesperidin Complex</t>
  </si>
  <si>
    <t>Immune Protect w/ Paractin</t>
  </si>
  <si>
    <t>Inosine</t>
  </si>
  <si>
    <t xml:space="preserve">Inositol Powder </t>
  </si>
  <si>
    <t>Iron Protein Plus</t>
  </si>
  <si>
    <t>15 mg</t>
  </si>
  <si>
    <t>Jarro-Dophilus Enhanced Probiotic System</t>
  </si>
  <si>
    <t xml:space="preserve">Kyolic Garlic Formula 102 </t>
  </si>
  <si>
    <t>200 capsules</t>
  </si>
  <si>
    <t>1/11/06: same</t>
  </si>
  <si>
    <t>Kyolic Reserve</t>
  </si>
  <si>
    <t>1/25/07: same</t>
  </si>
  <si>
    <t>Lactoferrin</t>
  </si>
  <si>
    <t>1/9/08: same</t>
  </si>
  <si>
    <t>L-Arginine HCl</t>
  </si>
  <si>
    <t>1 kg</t>
  </si>
  <si>
    <t xml:space="preserve">LE Herbal Mix </t>
  </si>
  <si>
    <t xml:space="preserve">269 g </t>
  </si>
  <si>
    <t>Lecithin</t>
  </si>
  <si>
    <t>461 grams</t>
  </si>
  <si>
    <t>L-Glutamine Powder</t>
  </si>
  <si>
    <t>Lignan Extract, standardized</t>
  </si>
  <si>
    <t xml:space="preserve">Life Extension Mix </t>
  </si>
  <si>
    <t>315 tablets</t>
  </si>
  <si>
    <t>Low Dose Aspirin</t>
  </si>
  <si>
    <t>81mg</t>
  </si>
  <si>
    <t>L-Ornithine</t>
  </si>
  <si>
    <t xml:space="preserve">300 grams </t>
  </si>
  <si>
    <t>L-Pyroglutamic Acid</t>
  </si>
  <si>
    <t>L-Theanine</t>
  </si>
  <si>
    <t>100 mg, 60 capsules</t>
  </si>
  <si>
    <t xml:space="preserve">L-tyrosine powder </t>
  </si>
  <si>
    <t xml:space="preserve">Lutein Plus Powder </t>
  </si>
  <si>
    <t>Magnesium Citrate</t>
  </si>
  <si>
    <t>160mg, 100cap</t>
  </si>
  <si>
    <t>Magnesium Oxide</t>
  </si>
  <si>
    <t>1000grams (61% Mg)</t>
  </si>
  <si>
    <t>Maitake SX-fraction</t>
  </si>
  <si>
    <t>90 tablets</t>
  </si>
  <si>
    <t>Mega GLA w/ sesame lignans</t>
  </si>
  <si>
    <t xml:space="preserve">Mega Green Tea Extract </t>
  </si>
  <si>
    <t>725 mg, 100 capsules</t>
  </si>
  <si>
    <t xml:space="preserve">Natural Sleep (melatonin) </t>
  </si>
  <si>
    <t>5 mg, 60 caps</t>
  </si>
  <si>
    <t>Melatonin</t>
  </si>
  <si>
    <t>10 mg, 60 caps</t>
  </si>
  <si>
    <t>Metabolic Modulator</t>
  </si>
  <si>
    <t>128 grams, ~30 scoops</t>
  </si>
  <si>
    <t>Metafolin</t>
  </si>
  <si>
    <t>800 mcg, 120 tabs</t>
  </si>
  <si>
    <t xml:space="preserve">Methylcobalamin </t>
  </si>
  <si>
    <t>5 mg, 60 tabs</t>
  </si>
  <si>
    <t>Mitochondrial Energy Optimizer w/ SODzyme</t>
  </si>
  <si>
    <t xml:space="preserve">MSM </t>
  </si>
  <si>
    <t>N-acetyl cysteine Capsules</t>
  </si>
  <si>
    <t>600 mg</t>
  </si>
  <si>
    <t>Natural BP Management</t>
  </si>
  <si>
    <t>Natural Estrogen</t>
  </si>
  <si>
    <t>60 tablets</t>
  </si>
  <si>
    <t>Natural Relief COX-2 Inhib Nexrutine</t>
  </si>
  <si>
    <t>Natural Prostate Formula, w/ 5-Loxin &amp; Lignans</t>
  </si>
  <si>
    <t>Natural Sleep</t>
  </si>
  <si>
    <t>3 mg, 60 caps</t>
  </si>
  <si>
    <t>Natural Stress Relief</t>
  </si>
  <si>
    <t>Nettle Leaf Extract</t>
  </si>
  <si>
    <t>No-Flush Niacin</t>
  </si>
  <si>
    <t>Noni Concentrate</t>
  </si>
  <si>
    <t>16 oz</t>
  </si>
  <si>
    <t>Oil of Oregano</t>
  </si>
  <si>
    <t>Olive Leaf Extract</t>
  </si>
  <si>
    <t>500mg, 60 capsules</t>
  </si>
  <si>
    <t>Only Trace Minerals</t>
  </si>
  <si>
    <t>Optizinc</t>
  </si>
  <si>
    <t>30 mg, 90capsules</t>
  </si>
  <si>
    <t>Panax Ginseng</t>
  </si>
  <si>
    <t>200 mg, 60 caps</t>
  </si>
  <si>
    <t>Pantethine Coenzyme B5 Precursor</t>
  </si>
  <si>
    <t>25 mg, 60 tabs</t>
  </si>
  <si>
    <t>Pantothenic Acid (Vitamin B5 Caps)</t>
  </si>
  <si>
    <t>500mg, 100 capsules</t>
  </si>
  <si>
    <t xml:space="preserve">PEAK ATP w/ GlycoCarn </t>
  </si>
  <si>
    <t>Phosphatidylserine Caps  (PS)</t>
  </si>
  <si>
    <t>100 mg, 100 capsules</t>
  </si>
  <si>
    <t>Policosinol</t>
  </si>
  <si>
    <t>10 mg, 60 tabs</t>
  </si>
  <si>
    <t>Pomegranate Extract</t>
  </si>
  <si>
    <t>Pomegranate Juice Concentrate</t>
  </si>
  <si>
    <t>Pregnenolone</t>
  </si>
  <si>
    <t>50 mg, 100 capsules</t>
  </si>
  <si>
    <t>Primal Defense (probiotics)</t>
  </si>
  <si>
    <t>900 mg, 90 capsules</t>
  </si>
  <si>
    <t>Pure Gar Caps w/EDTA `</t>
  </si>
  <si>
    <t>Quercetin</t>
  </si>
  <si>
    <t>500 mg, 100 capsules</t>
  </si>
  <si>
    <t>R-Lipoic Acid, Super</t>
  </si>
  <si>
    <t>300mg, 60</t>
  </si>
  <si>
    <t>Red Yeast Extended Release</t>
  </si>
  <si>
    <t>600 mg, 30 tabs</t>
  </si>
  <si>
    <t>Regimint</t>
  </si>
  <si>
    <t>60 gelcaps</t>
  </si>
  <si>
    <t>Resveratrol</t>
  </si>
  <si>
    <t>250mg, 60 caps</t>
  </si>
  <si>
    <t>100mg, 60 caps</t>
  </si>
  <si>
    <t>RNA Powder</t>
  </si>
  <si>
    <t>Rhodiola Extract</t>
  </si>
  <si>
    <t>250 mg, 60 caps</t>
  </si>
  <si>
    <t>Rosmarinic Acid Extract</t>
  </si>
  <si>
    <t>Rutin</t>
  </si>
  <si>
    <t>Sambu Guard</t>
  </si>
  <si>
    <t>15 ml, 12 dosages of 1tbs</t>
  </si>
  <si>
    <t>SAMe (S-Adenosyl-Methionine)</t>
  </si>
  <si>
    <t>200mg, 50 tabs</t>
  </si>
  <si>
    <t>SE- Methylselenocysteine</t>
  </si>
  <si>
    <t>200 mcg, 100 capsules</t>
  </si>
  <si>
    <t xml:space="preserve">Silibinin + </t>
  </si>
  <si>
    <t>2/3/07: no reorder; reevaluate usage</t>
  </si>
  <si>
    <t>100 mg, 90 capsules</t>
  </si>
  <si>
    <t>Silymarin Mega w/ Isosylibin B</t>
  </si>
  <si>
    <t>SOD-Zyme &amp; Glisodin</t>
  </si>
  <si>
    <t>Soy Powder</t>
  </si>
  <si>
    <t xml:space="preserve">Super-Absorbable Soy Isoflavones </t>
  </si>
  <si>
    <t>135 mg</t>
  </si>
  <si>
    <t>Super Ascorbate C Powder</t>
  </si>
  <si>
    <t>226.8 g</t>
  </si>
  <si>
    <t>Super Ubiquinol (CoQ10)</t>
  </si>
  <si>
    <t>100mg,100 gels</t>
  </si>
  <si>
    <t>Super Carnosine</t>
  </si>
  <si>
    <t>500mg, 90 caps</t>
  </si>
  <si>
    <t xml:space="preserve">Super CoQ10, Absorbable </t>
  </si>
  <si>
    <t>Super Critical Omega 7</t>
  </si>
  <si>
    <t>30 softgels</t>
  </si>
  <si>
    <t>Super EPA/DHA w/ sesame lignans + olive fruit extract</t>
  </si>
  <si>
    <t>120 softgels</t>
  </si>
  <si>
    <t xml:space="preserve">Super LE Booster </t>
  </si>
  <si>
    <t xml:space="preserve">100 caps </t>
  </si>
  <si>
    <t>Supe MiraForte w/ max Chrysin</t>
  </si>
  <si>
    <t>Super Polyphenols w/ Cocoa Gold</t>
  </si>
  <si>
    <t>Super Zeaxanthin w/ Lutein &amp; meso-zeaxanthin</t>
  </si>
  <si>
    <t>Taurine</t>
  </si>
  <si>
    <t>1000 mg, 50 caps</t>
  </si>
  <si>
    <t>Thiodipropionic Acid</t>
  </si>
  <si>
    <t xml:space="preserve">TMG Tablets </t>
  </si>
  <si>
    <t>500 mg, 180 tablets</t>
  </si>
  <si>
    <t>Tocotrienol with Sesame Lignans</t>
  </si>
  <si>
    <t>Tribulus</t>
  </si>
  <si>
    <t>500 mg, 60 capsules</t>
  </si>
  <si>
    <t>Tryptopure (l-tryptophan)</t>
  </si>
  <si>
    <t>500mg 90 caps</t>
  </si>
  <si>
    <t>Vanadyl Sulfate</t>
  </si>
  <si>
    <t>7.5mg, 100 tablets</t>
  </si>
  <si>
    <t>Venotone</t>
  </si>
  <si>
    <t>Vinpocetine</t>
  </si>
  <si>
    <t>5mg 100tablets</t>
  </si>
  <si>
    <t>Vitamin D3</t>
  </si>
  <si>
    <t>1000IU, 250 capsules</t>
  </si>
  <si>
    <t>Whey Protein</t>
  </si>
  <si>
    <t>1kg; daily in grams</t>
  </si>
  <si>
    <t>Yohimbe Plus</t>
  </si>
  <si>
    <t>40 gelcaps</t>
  </si>
  <si>
    <t>[grams]</t>
  </si>
  <si>
    <t>NON-LEF ITEMS</t>
  </si>
  <si>
    <t>(Pkg) Unit of Purchase[UP]</t>
  </si>
  <si>
    <t>4-Androstenediol</t>
  </si>
  <si>
    <t>KS</t>
  </si>
  <si>
    <t>20 grams</t>
  </si>
  <si>
    <t>Acarbose</t>
  </si>
  <si>
    <t>private</t>
  </si>
  <si>
    <t>Acipimox</t>
  </si>
  <si>
    <t>Aminoguanidine</t>
  </si>
  <si>
    <t>BHT</t>
  </si>
  <si>
    <t>SmBdz</t>
  </si>
  <si>
    <t>Citrulline Malate</t>
  </si>
  <si>
    <t>500 grams powder</t>
  </si>
  <si>
    <t>Deprenyl (Selegiline)</t>
  </si>
  <si>
    <t>IAS</t>
  </si>
  <si>
    <t>(10/pkg 5mg) 100</t>
  </si>
  <si>
    <t>Folic Acid</t>
  </si>
  <si>
    <t>pure 100 g pwdr</t>
  </si>
  <si>
    <t>Lithium Carbonate</t>
  </si>
  <si>
    <t>Rx</t>
  </si>
  <si>
    <t>150mg caps</t>
  </si>
  <si>
    <t>Metformin ER</t>
  </si>
  <si>
    <t>HWP</t>
  </si>
  <si>
    <t>500 mg tabs</t>
  </si>
  <si>
    <t>N-acetyl-L-carnosine</t>
  </si>
  <si>
    <t>Piracetam</t>
  </si>
  <si>
    <t>700 grams powder</t>
  </si>
  <si>
    <t>Potassium citrate</t>
  </si>
  <si>
    <t>granules (38% K)</t>
  </si>
  <si>
    <t>granuless (38% K)</t>
  </si>
  <si>
    <t>Pyridoxamine</t>
  </si>
  <si>
    <t>bulk</t>
  </si>
  <si>
    <t>R-LA</t>
  </si>
  <si>
    <t>Resveratrol, synthetic trans</t>
  </si>
  <si>
    <t>Rhubarb Root powder</t>
  </si>
  <si>
    <t>Rhubarb root powder</t>
  </si>
  <si>
    <t>TOTAL Paul</t>
  </si>
  <si>
    <t>TOTAL - Paul</t>
  </si>
  <si>
    <t>TOTAL Kitty</t>
  </si>
  <si>
    <t>TOTAL - Kitty</t>
  </si>
  <si>
    <t>Per person daily Qty</t>
  </si>
  <si>
    <t>Artichoke (cynara scolymus)  leaf pwdr'd extract [mg]</t>
  </si>
  <si>
    <t>Ashwagandha (Withania somnifera)  [mg]</t>
  </si>
  <si>
    <t>BHA [mg]</t>
  </si>
  <si>
    <t>Acetyl-L-carnitine [mg]</t>
  </si>
  <si>
    <t>Acetyl-L-carnitine arginate [mg]</t>
  </si>
  <si>
    <t>Propionyl-L-Carnitine [mg]</t>
  </si>
  <si>
    <t>Cat's Claw (Uncaria tomentosa) (inner bark) 3% standardized extract [mg]</t>
  </si>
  <si>
    <t>Catechin &amp; epicatechin ( OPC-precursors)  [mg]</t>
  </si>
  <si>
    <t>Chromium (polynicotinate) [mcg]</t>
  </si>
  <si>
    <t>Gallic acid (3%) [mg]</t>
  </si>
  <si>
    <t>Ginger extract (5% gingerols) [mg]</t>
  </si>
  <si>
    <t>Ginseng (Panax quiquefolius) [mg]</t>
  </si>
  <si>
    <t>D-gluarate [mg]</t>
  </si>
  <si>
    <t>Licorice root (Glycyrrhiza glabra0 [mg]</t>
  </si>
  <si>
    <t>Lutein [mcg]</t>
  </si>
  <si>
    <t>Glucophage [mg]</t>
  </si>
  <si>
    <t>Molybdenum (sodium molybdate) {mcg]</t>
  </si>
  <si>
    <t>Nettle leaf, fresh sting (urtica diocia) [mg]</t>
  </si>
  <si>
    <t>Norway spruce (Picea abies) lignan extract [mg]</t>
  </si>
  <si>
    <t>Olive juice extract [mg]</t>
  </si>
  <si>
    <t>Ornithine [mg]</t>
  </si>
  <si>
    <t>PABA [mg]</t>
  </si>
  <si>
    <t>Phosphatidic acid [mg, from soy]</t>
  </si>
  <si>
    <t>Phosphatidylserine [mg, from soy]</t>
  </si>
  <si>
    <t>RNA (ribonucleic acid)powder [gm]</t>
  </si>
  <si>
    <t>Rosmarinus officinalis [mcg]</t>
  </si>
  <si>
    <t>Selenodiglutathione [mcg]</t>
  </si>
  <si>
    <t>Selenium (Se-Methylselenocysteine) [mcg]</t>
  </si>
  <si>
    <t>Thiodiproprionic acid [mg]</t>
  </si>
  <si>
    <t>Tyrosine [gm]</t>
  </si>
  <si>
    <t>Vitamin B3 (niacin) [mg]</t>
  </si>
  <si>
    <t>Vitmin B3 (niacinamide) [mg]</t>
  </si>
  <si>
    <t>Vitamin B5 (calcium pantothenate) [mg]</t>
  </si>
  <si>
    <t>Vitamin D3 (Cholecalciferol) [mg]</t>
  </si>
  <si>
    <t>Vitamin E (d-alpha tocopherol acetate) [IU]</t>
  </si>
  <si>
    <t>COLOR CODING</t>
  </si>
  <si>
    <r>
      <t xml:space="preserve">BLUE </t>
    </r>
    <r>
      <rPr>
        <sz val="8"/>
        <rFont val="Arial"/>
        <family val="2"/>
      </rPr>
      <t>= items taken only by Paul</t>
    </r>
  </si>
  <si>
    <r>
      <t xml:space="preserve">PINK </t>
    </r>
    <r>
      <rPr>
        <sz val="8"/>
        <rFont val="Arial"/>
        <family val="2"/>
      </rPr>
      <t xml:space="preserve">= items taken only by Kitty </t>
    </r>
  </si>
  <si>
    <r>
      <t>Orange</t>
    </r>
    <r>
      <rPr>
        <sz val="8"/>
        <rFont val="Arial"/>
        <family val="2"/>
      </rPr>
      <t xml:space="preserve"> = Newly Discontinued Item; planned reevaluation status noted 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</si>
</sst>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00000"/>
    <numFmt numFmtId="168" formatCode="0"/>
    <numFmt numFmtId="169" formatCode="0.0"/>
    <numFmt numFmtId="170" formatCode="0.000"/>
    <numFmt numFmtId="171" formatCode="\$#,##0.00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1"/>
    </font>
    <font>
      <sz val="8"/>
      <color indexed="8"/>
      <name val="Arial"/>
      <family val="1"/>
    </font>
    <font>
      <b/>
      <sz val="10"/>
      <name val="Arial"/>
      <family val="2"/>
    </font>
    <font>
      <sz val="10"/>
      <name val="Bitstream Vera Sans"/>
      <family val="2"/>
    </font>
    <font>
      <vertAlign val="superscript"/>
      <sz val="8"/>
      <color indexed="8"/>
      <name val="Arial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textRotation="90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textRotation="90"/>
    </xf>
    <xf numFmtId="166" fontId="2" fillId="0" borderId="1" xfId="0" applyNumberFormat="1" applyFont="1" applyFill="1" applyBorder="1" applyAlignment="1">
      <alignment textRotation="90" wrapText="1"/>
    </xf>
    <xf numFmtId="164" fontId="2" fillId="2" borderId="1" xfId="0" applyFont="1" applyFill="1" applyBorder="1" applyAlignment="1">
      <alignment textRotation="90" wrapText="1"/>
    </xf>
    <xf numFmtId="166" fontId="2" fillId="0" borderId="1" xfId="0" applyNumberFormat="1" applyFont="1" applyBorder="1" applyAlignment="1">
      <alignment textRotation="90" wrapText="1"/>
    </xf>
    <xf numFmtId="166" fontId="2" fillId="2" borderId="1" xfId="0" applyNumberFormat="1" applyFont="1" applyFill="1" applyBorder="1" applyAlignment="1">
      <alignment textRotation="90" wrapText="1"/>
    </xf>
    <xf numFmtId="164" fontId="2" fillId="0" borderId="1" xfId="0" applyFont="1" applyFill="1" applyBorder="1" applyAlignment="1">
      <alignment textRotation="90" wrapText="1"/>
    </xf>
    <xf numFmtId="165" fontId="2" fillId="0" borderId="1" xfId="0" applyNumberFormat="1" applyFont="1" applyBorder="1" applyAlignment="1">
      <alignment textRotation="90" wrapText="1"/>
    </xf>
    <xf numFmtId="164" fontId="2" fillId="0" borderId="1" xfId="0" applyFont="1" applyBorder="1" applyAlignment="1">
      <alignment horizontal="center" textRotation="90" wrapText="1"/>
    </xf>
    <xf numFmtId="164" fontId="2" fillId="3" borderId="1" xfId="0" applyFont="1" applyFill="1" applyBorder="1" applyAlignment="1">
      <alignment textRotation="90" wrapText="1"/>
    </xf>
    <xf numFmtId="166" fontId="2" fillId="3" borderId="1" xfId="0" applyNumberFormat="1" applyFont="1" applyFill="1" applyBorder="1" applyAlignment="1">
      <alignment textRotation="90" wrapText="1"/>
    </xf>
    <xf numFmtId="164" fontId="1" fillId="0" borderId="1" xfId="0" applyFont="1" applyBorder="1" applyAlignment="1">
      <alignment/>
    </xf>
    <xf numFmtId="167" fontId="1" fillId="0" borderId="0" xfId="0" applyNumberFormat="1" applyFont="1" applyAlignment="1">
      <alignment horizontal="center"/>
    </xf>
    <xf numFmtId="164" fontId="1" fillId="0" borderId="2" xfId="0" applyFont="1" applyBorder="1" applyAlignment="1">
      <alignment wrapText="1"/>
    </xf>
    <xf numFmtId="167" fontId="1" fillId="0" borderId="2" xfId="0" applyNumberFormat="1" applyFont="1" applyBorder="1" applyAlignment="1">
      <alignment horizontal="center"/>
    </xf>
    <xf numFmtId="164" fontId="1" fillId="0" borderId="2" xfId="0" applyFont="1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4" fontId="2" fillId="2" borderId="0" xfId="0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8" fontId="1" fillId="0" borderId="0" xfId="0" applyNumberFormat="1" applyFont="1" applyBorder="1" applyAlignment="1">
      <alignment/>
    </xf>
    <xf numFmtId="166" fontId="5" fillId="2" borderId="0" xfId="0" applyNumberFormat="1" applyFont="1" applyFill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0" fillId="0" borderId="0" xfId="0" applyAlignment="1">
      <alignment/>
    </xf>
    <xf numFmtId="165" fontId="2" fillId="0" borderId="0" xfId="0" applyNumberFormat="1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4" borderId="2" xfId="0" applyFont="1" applyFill="1" applyBorder="1" applyAlignment="1">
      <alignment vertical="top" wrapText="1"/>
    </xf>
    <xf numFmtId="167" fontId="1" fillId="4" borderId="2" xfId="0" applyNumberFormat="1" applyFont="1" applyFill="1" applyBorder="1" applyAlignment="1">
      <alignment horizontal="center"/>
    </xf>
    <xf numFmtId="164" fontId="1" fillId="4" borderId="4" xfId="0" applyFont="1" applyFill="1" applyBorder="1" applyAlignment="1">
      <alignment vertical="top" wrapText="1"/>
    </xf>
    <xf numFmtId="164" fontId="1" fillId="4" borderId="5" xfId="0" applyFont="1" applyFill="1" applyBorder="1" applyAlignment="1">
      <alignment vertical="top" wrapText="1"/>
    </xf>
    <xf numFmtId="164" fontId="1" fillId="4" borderId="0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vertical="top" wrapText="1"/>
    </xf>
    <xf numFmtId="164" fontId="1" fillId="4" borderId="0" xfId="0" applyFont="1" applyFill="1" applyAlignment="1">
      <alignment/>
    </xf>
    <xf numFmtId="164" fontId="1" fillId="5" borderId="2" xfId="0" applyFont="1" applyFill="1" applyBorder="1" applyAlignment="1">
      <alignment vertical="top" wrapText="1"/>
    </xf>
    <xf numFmtId="167" fontId="1" fillId="5" borderId="2" xfId="0" applyNumberFormat="1" applyFont="1" applyFill="1" applyBorder="1" applyAlignment="1">
      <alignment horizontal="center"/>
    </xf>
    <xf numFmtId="164" fontId="1" fillId="5" borderId="4" xfId="0" applyFont="1" applyFill="1" applyBorder="1" applyAlignment="1">
      <alignment vertical="top" wrapText="1"/>
    </xf>
    <xf numFmtId="164" fontId="1" fillId="5" borderId="5" xfId="0" applyFont="1" applyFill="1" applyBorder="1" applyAlignment="1">
      <alignment vertical="top" wrapText="1"/>
    </xf>
    <xf numFmtId="164" fontId="1" fillId="5" borderId="0" xfId="0" applyFont="1" applyFill="1" applyBorder="1" applyAlignment="1">
      <alignment vertical="top" wrapText="1"/>
    </xf>
    <xf numFmtId="164" fontId="1" fillId="5" borderId="0" xfId="0" applyFont="1" applyFill="1" applyAlignment="1">
      <alignment/>
    </xf>
    <xf numFmtId="164" fontId="1" fillId="4" borderId="3" xfId="0" applyFont="1" applyFill="1" applyBorder="1" applyAlignment="1">
      <alignment vertical="top" wrapText="1"/>
    </xf>
    <xf numFmtId="167" fontId="1" fillId="4" borderId="3" xfId="0" applyNumberFormat="1" applyFont="1" applyFill="1" applyBorder="1" applyAlignment="1">
      <alignment horizontal="center"/>
    </xf>
    <xf numFmtId="164" fontId="1" fillId="4" borderId="6" xfId="0" applyFont="1" applyFill="1" applyBorder="1" applyAlignment="1">
      <alignment vertical="top" wrapText="1"/>
    </xf>
    <xf numFmtId="164" fontId="1" fillId="5" borderId="3" xfId="0" applyFont="1" applyFill="1" applyBorder="1" applyAlignment="1">
      <alignment vertical="top" wrapText="1"/>
    </xf>
    <xf numFmtId="167" fontId="1" fillId="5" borderId="3" xfId="0" applyNumberFormat="1" applyFont="1" applyFill="1" applyBorder="1" applyAlignment="1">
      <alignment horizontal="center"/>
    </xf>
    <xf numFmtId="164" fontId="1" fillId="5" borderId="6" xfId="0" applyFont="1" applyFill="1" applyBorder="1" applyAlignment="1">
      <alignment vertical="top" wrapText="1"/>
    </xf>
    <xf numFmtId="164" fontId="1" fillId="0" borderId="3" xfId="0" applyFont="1" applyFill="1" applyBorder="1" applyAlignment="1">
      <alignment vertical="top" wrapText="1"/>
    </xf>
    <xf numFmtId="167" fontId="1" fillId="0" borderId="3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vertical="top" wrapText="1"/>
    </xf>
    <xf numFmtId="164" fontId="1" fillId="0" borderId="5" xfId="0" applyFont="1" applyFill="1" applyBorder="1" applyAlignment="1">
      <alignment vertical="top" wrapText="1"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6" borderId="0" xfId="0" applyFont="1" applyFill="1" applyAlignment="1">
      <alignment wrapText="1"/>
    </xf>
    <xf numFmtId="164" fontId="1" fillId="6" borderId="3" xfId="0" applyFont="1" applyFill="1" applyBorder="1" applyAlignment="1">
      <alignment vertical="top" wrapText="1"/>
    </xf>
    <xf numFmtId="167" fontId="1" fillId="6" borderId="3" xfId="0" applyNumberFormat="1" applyFont="1" applyFill="1" applyBorder="1" applyAlignment="1">
      <alignment horizontal="center"/>
    </xf>
    <xf numFmtId="164" fontId="1" fillId="6" borderId="6" xfId="0" applyFont="1" applyFill="1" applyBorder="1" applyAlignment="1">
      <alignment vertical="top" wrapText="1"/>
    </xf>
    <xf numFmtId="164" fontId="1" fillId="6" borderId="0" xfId="0" applyFont="1" applyFill="1" applyAlignment="1">
      <alignment/>
    </xf>
    <xf numFmtId="164" fontId="1" fillId="5" borderId="0" xfId="0" applyFont="1" applyFill="1" applyAlignment="1">
      <alignment wrapText="1"/>
    </xf>
    <xf numFmtId="164" fontId="1" fillId="0" borderId="0" xfId="0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1" fillId="0" borderId="6" xfId="0" applyFont="1" applyBorder="1" applyAlignment="1">
      <alignment vertical="top" wrapText="1"/>
    </xf>
    <xf numFmtId="164" fontId="1" fillId="7" borderId="3" xfId="0" applyFont="1" applyFill="1" applyBorder="1" applyAlignment="1">
      <alignment vertical="top" wrapText="1"/>
    </xf>
    <xf numFmtId="167" fontId="1" fillId="7" borderId="3" xfId="0" applyNumberFormat="1" applyFont="1" applyFill="1" applyBorder="1" applyAlignment="1">
      <alignment horizontal="center" vertical="top"/>
    </xf>
    <xf numFmtId="164" fontId="1" fillId="7" borderId="6" xfId="0" applyFont="1" applyFill="1" applyBorder="1" applyAlignment="1">
      <alignment vertical="top" wrapText="1"/>
    </xf>
    <xf numFmtId="164" fontId="1" fillId="7" borderId="0" xfId="0" applyFont="1" applyFill="1" applyAlignment="1">
      <alignment/>
    </xf>
    <xf numFmtId="168" fontId="1" fillId="7" borderId="0" xfId="0" applyNumberFormat="1" applyFont="1" applyFill="1" applyAlignment="1">
      <alignment/>
    </xf>
    <xf numFmtId="164" fontId="2" fillId="0" borderId="0" xfId="0" applyFont="1" applyBorder="1" applyAlignment="1">
      <alignment vertical="top" wrapText="1"/>
    </xf>
    <xf numFmtId="167" fontId="1" fillId="7" borderId="3" xfId="0" applyNumberFormat="1" applyFont="1" applyFill="1" applyBorder="1" applyAlignment="1">
      <alignment horizontal="center"/>
    </xf>
    <xf numFmtId="164" fontId="1" fillId="7" borderId="5" xfId="0" applyFont="1" applyFill="1" applyBorder="1" applyAlignment="1">
      <alignment vertical="top" wrapText="1"/>
    </xf>
    <xf numFmtId="164" fontId="1" fillId="8" borderId="3" xfId="0" applyFont="1" applyFill="1" applyBorder="1" applyAlignment="1">
      <alignment vertical="top" wrapText="1"/>
    </xf>
    <xf numFmtId="167" fontId="1" fillId="8" borderId="3" xfId="0" applyNumberFormat="1" applyFont="1" applyFill="1" applyBorder="1" applyAlignment="1">
      <alignment horizontal="center"/>
    </xf>
    <xf numFmtId="164" fontId="1" fillId="8" borderId="6" xfId="0" applyFont="1" applyFill="1" applyBorder="1" applyAlignment="1">
      <alignment vertical="top" wrapText="1"/>
    </xf>
    <xf numFmtId="164" fontId="1" fillId="8" borderId="5" xfId="0" applyFont="1" applyFill="1" applyBorder="1" applyAlignment="1">
      <alignment vertical="top" wrapText="1"/>
    </xf>
    <xf numFmtId="164" fontId="1" fillId="8" borderId="0" xfId="0" applyFont="1" applyFill="1" applyBorder="1" applyAlignment="1">
      <alignment vertical="top" wrapText="1"/>
    </xf>
    <xf numFmtId="164" fontId="1" fillId="8" borderId="0" xfId="0" applyFont="1" applyFill="1" applyAlignment="1">
      <alignment/>
    </xf>
    <xf numFmtId="165" fontId="1" fillId="8" borderId="0" xfId="0" applyNumberFormat="1" applyFont="1" applyFill="1" applyAlignment="1">
      <alignment/>
    </xf>
    <xf numFmtId="164" fontId="1" fillId="8" borderId="0" xfId="0" applyFont="1" applyFill="1" applyAlignment="1">
      <alignment horizontal="center"/>
    </xf>
    <xf numFmtId="164" fontId="1" fillId="0" borderId="5" xfId="0" applyFont="1" applyBorder="1" applyAlignment="1">
      <alignment vertical="top" wrapText="1"/>
    </xf>
    <xf numFmtId="169" fontId="1" fillId="0" borderId="0" xfId="0" applyNumberFormat="1" applyFont="1" applyAlignment="1">
      <alignment/>
    </xf>
    <xf numFmtId="169" fontId="1" fillId="7" borderId="0" xfId="0" applyNumberFormat="1" applyFont="1" applyFill="1" applyAlignment="1">
      <alignment/>
    </xf>
    <xf numFmtId="169" fontId="1" fillId="5" borderId="0" xfId="0" applyNumberFormat="1" applyFont="1" applyFill="1" applyAlignment="1">
      <alignment/>
    </xf>
    <xf numFmtId="165" fontId="1" fillId="5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70" fontId="1" fillId="7" borderId="5" xfId="0" applyNumberFormat="1" applyFont="1" applyFill="1" applyBorder="1" applyAlignment="1">
      <alignment vertical="top" wrapText="1"/>
    </xf>
    <xf numFmtId="170" fontId="1" fillId="5" borderId="5" xfId="0" applyNumberFormat="1" applyFont="1" applyFill="1" applyBorder="1" applyAlignment="1">
      <alignment vertical="top" wrapText="1"/>
    </xf>
    <xf numFmtId="164" fontId="0" fillId="0" borderId="3" xfId="0" applyFont="1" applyFill="1" applyBorder="1" applyAlignment="1">
      <alignment vertical="top" wrapText="1"/>
    </xf>
    <xf numFmtId="164" fontId="1" fillId="0" borderId="0" xfId="0" applyFont="1" applyAlignment="1">
      <alignment wrapText="1"/>
    </xf>
    <xf numFmtId="164" fontId="0" fillId="0" borderId="0" xfId="0" applyFill="1" applyAlignment="1">
      <alignment/>
    </xf>
    <xf numFmtId="165" fontId="1" fillId="5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4" fontId="3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1" fillId="4" borderId="0" xfId="0" applyNumberFormat="1" applyFont="1" applyFill="1" applyAlignment="1">
      <alignment/>
    </xf>
    <xf numFmtId="165" fontId="1" fillId="7" borderId="0" xfId="0" applyNumberFormat="1" applyFont="1" applyFill="1" applyAlignment="1">
      <alignment/>
    </xf>
    <xf numFmtId="164" fontId="1" fillId="6" borderId="5" xfId="0" applyFont="1" applyFill="1" applyBorder="1" applyAlignment="1">
      <alignment vertical="top" wrapText="1"/>
    </xf>
    <xf numFmtId="164" fontId="1" fillId="9" borderId="3" xfId="0" applyFont="1" applyFill="1" applyBorder="1" applyAlignment="1">
      <alignment vertical="top" wrapText="1"/>
    </xf>
    <xf numFmtId="167" fontId="1" fillId="9" borderId="3" xfId="0" applyNumberFormat="1" applyFont="1" applyFill="1" applyBorder="1" applyAlignment="1">
      <alignment horizontal="center"/>
    </xf>
    <xf numFmtId="164" fontId="1" fillId="9" borderId="6" xfId="0" applyFont="1" applyFill="1" applyBorder="1" applyAlignment="1">
      <alignment vertical="top" wrapText="1"/>
    </xf>
    <xf numFmtId="164" fontId="1" fillId="9" borderId="5" xfId="0" applyFont="1" applyFill="1" applyBorder="1" applyAlignment="1">
      <alignment vertical="top" wrapText="1"/>
    </xf>
    <xf numFmtId="164" fontId="1" fillId="9" borderId="0" xfId="0" applyFont="1" applyFill="1" applyBorder="1" applyAlignment="1">
      <alignment vertical="top" wrapText="1"/>
    </xf>
    <xf numFmtId="164" fontId="1" fillId="9" borderId="0" xfId="0" applyFont="1" applyFill="1" applyAlignment="1">
      <alignment/>
    </xf>
    <xf numFmtId="165" fontId="1" fillId="9" borderId="0" xfId="0" applyNumberFormat="1" applyFont="1" applyFill="1" applyAlignment="1">
      <alignment/>
    </xf>
    <xf numFmtId="164" fontId="1" fillId="9" borderId="0" xfId="0" applyFont="1" applyFill="1" applyAlignment="1">
      <alignment horizontal="center"/>
    </xf>
    <xf numFmtId="168" fontId="1" fillId="4" borderId="0" xfId="0" applyNumberFormat="1" applyFont="1" applyFill="1" applyBorder="1" applyAlignment="1">
      <alignment/>
    </xf>
    <xf numFmtId="168" fontId="1" fillId="5" borderId="0" xfId="0" applyNumberFormat="1" applyFont="1" applyFill="1" applyBorder="1" applyAlignment="1">
      <alignment/>
    </xf>
    <xf numFmtId="164" fontId="1" fillId="0" borderId="0" xfId="0" applyFont="1" applyFill="1" applyAlignment="1">
      <alignment wrapText="1"/>
    </xf>
    <xf numFmtId="168" fontId="1" fillId="4" borderId="0" xfId="0" applyNumberFormat="1" applyFont="1" applyFill="1" applyAlignment="1">
      <alignment/>
    </xf>
    <xf numFmtId="167" fontId="4" fillId="7" borderId="3" xfId="0" applyNumberFormat="1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4" fontId="1" fillId="7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1" fillId="4" borderId="3" xfId="0" applyFont="1" applyFill="1" applyBorder="1" applyAlignment="1">
      <alignment vertical="top"/>
    </xf>
    <xf numFmtId="164" fontId="0" fillId="4" borderId="3" xfId="0" applyFont="1" applyFill="1" applyBorder="1" applyAlignment="1">
      <alignment vertical="top" wrapText="1"/>
    </xf>
    <xf numFmtId="165" fontId="1" fillId="4" borderId="0" xfId="0" applyNumberFormat="1" applyFont="1" applyFill="1" applyAlignment="1">
      <alignment/>
    </xf>
    <xf numFmtId="164" fontId="1" fillId="0" borderId="3" xfId="0" applyFont="1" applyFill="1" applyBorder="1" applyAlignment="1">
      <alignment vertical="top"/>
    </xf>
    <xf numFmtId="164" fontId="1" fillId="7" borderId="3" xfId="0" applyFont="1" applyFill="1" applyBorder="1" applyAlignment="1">
      <alignment wrapText="1"/>
    </xf>
    <xf numFmtId="164" fontId="0" fillId="7" borderId="3" xfId="0" applyFill="1" applyBorder="1" applyAlignment="1">
      <alignment/>
    </xf>
    <xf numFmtId="167" fontId="1" fillId="7" borderId="7" xfId="0" applyNumberFormat="1" applyFont="1" applyFill="1" applyBorder="1" applyAlignment="1">
      <alignment horizontal="center"/>
    </xf>
    <xf numFmtId="164" fontId="1" fillId="5" borderId="3" xfId="0" applyFont="1" applyFill="1" applyBorder="1" applyAlignment="1">
      <alignment wrapText="1"/>
    </xf>
    <xf numFmtId="164" fontId="0" fillId="5" borderId="3" xfId="0" applyFill="1" applyBorder="1" applyAlignment="1">
      <alignment/>
    </xf>
    <xf numFmtId="167" fontId="1" fillId="5" borderId="7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vertical="top" wrapText="1"/>
    </xf>
    <xf numFmtId="164" fontId="4" fillId="0" borderId="6" xfId="0" applyFont="1" applyFill="1" applyBorder="1" applyAlignment="1">
      <alignment vertical="top" wrapText="1"/>
    </xf>
    <xf numFmtId="164" fontId="1" fillId="4" borderId="3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5" xfId="0" applyFont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71" fontId="1" fillId="0" borderId="0" xfId="0" applyNumberFormat="1" applyFont="1" applyBorder="1" applyAlignment="1">
      <alignment/>
    </xf>
    <xf numFmtId="164" fontId="2" fillId="0" borderId="3" xfId="0" applyFont="1" applyBorder="1" applyAlignment="1">
      <alignment vertical="top" wrapText="1"/>
    </xf>
    <xf numFmtId="164" fontId="1" fillId="5" borderId="3" xfId="0" applyFont="1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4" fontId="1" fillId="5" borderId="3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" fillId="7" borderId="3" xfId="0" applyFont="1" applyFill="1" applyBorder="1" applyAlignment="1">
      <alignment horizontal="center"/>
    </xf>
    <xf numFmtId="164" fontId="1" fillId="8" borderId="3" xfId="0" applyFont="1" applyFill="1" applyBorder="1" applyAlignment="1">
      <alignment/>
    </xf>
    <xf numFmtId="164" fontId="1" fillId="8" borderId="3" xfId="0" applyFont="1" applyFill="1" applyBorder="1" applyAlignment="1">
      <alignment horizontal="center"/>
    </xf>
    <xf numFmtId="170" fontId="1" fillId="8" borderId="5" xfId="0" applyNumberFormat="1" applyFont="1" applyFill="1" applyBorder="1" applyAlignment="1">
      <alignment vertical="top" wrapText="1"/>
    </xf>
    <xf numFmtId="169" fontId="1" fillId="8" borderId="0" xfId="0" applyNumberFormat="1" applyFont="1" applyFill="1" applyAlignment="1">
      <alignment/>
    </xf>
    <xf numFmtId="170" fontId="1" fillId="4" borderId="5" xfId="0" applyNumberFormat="1" applyFont="1" applyFill="1" applyBorder="1" applyAlignment="1">
      <alignment vertical="top" wrapText="1"/>
    </xf>
    <xf numFmtId="164" fontId="1" fillId="9" borderId="3" xfId="0" applyFont="1" applyFill="1" applyBorder="1" applyAlignment="1">
      <alignment/>
    </xf>
    <xf numFmtId="164" fontId="1" fillId="9" borderId="3" xfId="0" applyFont="1" applyFill="1" applyBorder="1" applyAlignment="1">
      <alignment horizontal="center"/>
    </xf>
    <xf numFmtId="164" fontId="1" fillId="9" borderId="6" xfId="0" applyFont="1" applyFill="1" applyBorder="1" applyAlignment="1">
      <alignment/>
    </xf>
    <xf numFmtId="164" fontId="1" fillId="9" borderId="5" xfId="0" applyFont="1" applyFill="1" applyBorder="1" applyAlignment="1">
      <alignment/>
    </xf>
    <xf numFmtId="164" fontId="1" fillId="4" borderId="6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4" fontId="1" fillId="5" borderId="6" xfId="0" applyFont="1" applyFill="1" applyBorder="1" applyAlignment="1">
      <alignment/>
    </xf>
    <xf numFmtId="164" fontId="1" fillId="5" borderId="5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7" borderId="0" xfId="0" applyNumberFormat="1" applyFont="1" applyFill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7" borderId="0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8" fontId="1" fillId="6" borderId="3" xfId="0" applyNumberFormat="1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168" fontId="1" fillId="7" borderId="3" xfId="0" applyNumberFormat="1" applyFont="1" applyFill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9" fontId="1" fillId="4" borderId="3" xfId="0" applyNumberFormat="1" applyFont="1" applyFill="1" applyBorder="1" applyAlignment="1">
      <alignment horizontal="center"/>
    </xf>
    <xf numFmtId="169" fontId="1" fillId="7" borderId="3" xfId="0" applyNumberFormat="1" applyFont="1" applyFill="1" applyBorder="1" applyAlignment="1">
      <alignment horizontal="center"/>
    </xf>
    <xf numFmtId="168" fontId="1" fillId="0" borderId="3" xfId="0" applyNumberFormat="1" applyFont="1" applyBorder="1" applyAlignment="1">
      <alignment/>
    </xf>
    <xf numFmtId="168" fontId="1" fillId="7" borderId="3" xfId="0" applyNumberFormat="1" applyFont="1" applyFill="1" applyBorder="1" applyAlignment="1">
      <alignment/>
    </xf>
    <xf numFmtId="168" fontId="1" fillId="4" borderId="3" xfId="0" applyNumberFormat="1" applyFont="1" applyFill="1" applyBorder="1" applyAlignment="1">
      <alignment/>
    </xf>
    <xf numFmtId="169" fontId="1" fillId="0" borderId="3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5" borderId="0" xfId="0" applyNumberFormat="1" applyFont="1" applyFill="1" applyAlignment="1">
      <alignment/>
    </xf>
    <xf numFmtId="164" fontId="1" fillId="0" borderId="0" xfId="0" applyNumberFormat="1" applyFont="1" applyAlignment="1">
      <alignment horizontal="center"/>
    </xf>
    <xf numFmtId="164" fontId="1" fillId="5" borderId="0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8" fontId="1" fillId="5" borderId="9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9" fontId="1" fillId="5" borderId="9" xfId="0" applyNumberFormat="1" applyFont="1" applyFill="1" applyBorder="1" applyAlignment="1">
      <alignment horizontal="center"/>
    </xf>
    <xf numFmtId="168" fontId="1" fillId="0" borderId="9" xfId="0" applyNumberFormat="1" applyFont="1" applyBorder="1" applyAlignment="1">
      <alignment/>
    </xf>
    <xf numFmtId="168" fontId="1" fillId="5" borderId="3" xfId="0" applyNumberFormat="1" applyFont="1" applyFill="1" applyBorder="1" applyAlignment="1">
      <alignment horizontal="center"/>
    </xf>
    <xf numFmtId="168" fontId="1" fillId="5" borderId="9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168" fontId="2" fillId="0" borderId="1" xfId="0" applyNumberFormat="1" applyFont="1" applyBorder="1" applyAlignment="1">
      <alignment textRotation="90" wrapText="1"/>
    </xf>
    <xf numFmtId="164" fontId="2" fillId="0" borderId="0" xfId="0" applyFont="1" applyAlignment="1">
      <alignment/>
    </xf>
    <xf numFmtId="164" fontId="2" fillId="7" borderId="0" xfId="0" applyFont="1" applyFill="1" applyAlignment="1">
      <alignment/>
    </xf>
    <xf numFmtId="164" fontId="2" fillId="5" borderId="0" xfId="0" applyFont="1" applyFill="1" applyAlignment="1">
      <alignment/>
    </xf>
    <xf numFmtId="164" fontId="2" fillId="1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630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7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workbookViewId="0" topLeftCell="A1">
      <pane xSplit="7341" ySplit="2923" topLeftCell="F1" activePane="bottomLeft" state="split"/>
      <selection pane="topLeft" activeCell="A1" sqref="A1"/>
      <selection pane="topRight" activeCell="F1" sqref="F1"/>
      <selection pane="bottomLeft" activeCell="C14" sqref="C14"/>
      <selection pane="bottomRight" activeCell="F1" sqref="F1"/>
    </sheetView>
  </sheetViews>
  <sheetFormatPr defaultColWidth="5.7109375" defaultRowHeight="12.75"/>
  <cols>
    <col min="1" max="1" width="31.421875" style="1" customWidth="1"/>
    <col min="2" max="2" width="0" style="1" hidden="1" customWidth="1"/>
    <col min="3" max="3" width="8.00390625" style="2" customWidth="1"/>
    <col min="4" max="4" width="16.140625" style="1" customWidth="1"/>
    <col min="5" max="5" width="7.00390625" style="1" customWidth="1"/>
    <col min="6" max="13" width="5.140625" style="1" customWidth="1"/>
    <col min="14" max="14" width="5.28125" style="1" customWidth="1"/>
    <col min="15" max="16" width="4.140625" style="1" customWidth="1"/>
    <col min="17" max="17" width="5.421875" style="1" customWidth="1"/>
    <col min="18" max="19" width="5.28125" style="1" customWidth="1"/>
    <col min="20" max="20" width="6.7109375" style="1" customWidth="1"/>
    <col min="21" max="21" width="5.28125" style="1" customWidth="1"/>
    <col min="22" max="22" width="4.7109375" style="1" customWidth="1"/>
    <col min="23" max="30" width="5.140625" style="1" customWidth="1"/>
    <col min="31" max="31" width="5.8515625" style="1" customWidth="1"/>
    <col min="32" max="32" width="7.28125" style="1" customWidth="1"/>
    <col min="33" max="35" width="5.140625" style="1" customWidth="1"/>
    <col min="36" max="37" width="5.140625" style="3" customWidth="1"/>
    <col min="38" max="41" width="5.140625" style="1" customWidth="1"/>
    <col min="42" max="42" width="5.421875" style="1" customWidth="1"/>
    <col min="43" max="47" width="5.140625" style="1" customWidth="1"/>
    <col min="48" max="48" width="5.8515625" style="1" customWidth="1"/>
    <col min="49" max="69" width="5.140625" style="1" customWidth="1"/>
    <col min="70" max="70" width="5.7109375" style="1" customWidth="1"/>
    <col min="71" max="71" width="5.140625" style="1" customWidth="1"/>
    <col min="72" max="72" width="7.28125" style="1" customWidth="1"/>
    <col min="73" max="80" width="5.140625" style="1" customWidth="1"/>
    <col min="81" max="81" width="5.140625" style="3" customWidth="1"/>
    <col min="82" max="84" width="5.140625" style="1" customWidth="1"/>
    <col min="85" max="85" width="6.421875" style="1" customWidth="1"/>
    <col min="86" max="89" width="5.140625" style="1" customWidth="1"/>
    <col min="90" max="90" width="5.7109375" style="1" customWidth="1"/>
    <col min="91" max="98" width="5.140625" style="1" customWidth="1"/>
    <col min="99" max="99" width="5.7109375" style="1" customWidth="1"/>
    <col min="100" max="107" width="5.140625" style="1" customWidth="1"/>
    <col min="108" max="108" width="5.140625" style="3" customWidth="1"/>
    <col min="109" max="134" width="5.140625" style="1" customWidth="1"/>
    <col min="135" max="136" width="6.8515625" style="1" customWidth="1"/>
    <col min="137" max="138" width="5.140625" style="1" customWidth="1"/>
    <col min="139" max="140" width="6.421875" style="1" customWidth="1"/>
    <col min="141" max="147" width="5.140625" style="1" customWidth="1"/>
    <col min="148" max="148" width="5.140625" style="4" customWidth="1"/>
    <col min="149" max="161" width="5.140625" style="1" customWidth="1"/>
    <col min="162" max="162" width="7.00390625" style="1" customWidth="1"/>
    <col min="163" max="164" width="5.140625" style="1" customWidth="1"/>
    <col min="165" max="165" width="5.140625" style="2" customWidth="1"/>
    <col min="166" max="189" width="5.140625" style="1" customWidth="1"/>
    <col min="190" max="190" width="6.28125" style="1" customWidth="1"/>
    <col min="191" max="205" width="5.140625" style="1" customWidth="1"/>
    <col min="206" max="206" width="5.57421875" style="1" customWidth="1"/>
    <col min="207" max="220" width="5.140625" style="1" customWidth="1"/>
    <col min="221" max="221" width="7.421875" style="1" customWidth="1"/>
    <col min="222" max="234" width="5.140625" style="1" customWidth="1"/>
    <col min="235" max="235" width="6.57421875" style="1" customWidth="1"/>
    <col min="236" max="243" width="5.140625" style="1" customWidth="1"/>
    <col min="244" max="16384" width="6.28125" style="1" customWidth="1"/>
  </cols>
  <sheetData>
    <row r="1" spans="1:243" s="18" customFormat="1" ht="131.25" customHeight="1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10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9" t="s">
        <v>22</v>
      </c>
      <c r="X1" s="11" t="s">
        <v>23</v>
      </c>
      <c r="Y1" s="11" t="s">
        <v>24</v>
      </c>
      <c r="Z1" s="11" t="s">
        <v>25</v>
      </c>
      <c r="AA1" s="9" t="s">
        <v>26</v>
      </c>
      <c r="AB1" s="9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9" t="s">
        <v>35</v>
      </c>
      <c r="AK1" s="9" t="s">
        <v>36</v>
      </c>
      <c r="AL1" s="8" t="s">
        <v>37</v>
      </c>
      <c r="AM1" s="6" t="s">
        <v>38</v>
      </c>
      <c r="AN1" s="11" t="s">
        <v>39</v>
      </c>
      <c r="AO1" s="11" t="s">
        <v>40</v>
      </c>
      <c r="AP1" s="11" t="s">
        <v>41</v>
      </c>
      <c r="AQ1" s="9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6" t="s">
        <v>56</v>
      </c>
      <c r="BF1" s="11" t="s">
        <v>57</v>
      </c>
      <c r="BG1" s="6" t="s">
        <v>58</v>
      </c>
      <c r="BH1" s="11" t="s">
        <v>59</v>
      </c>
      <c r="BI1" s="11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2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9" t="s">
        <v>79</v>
      </c>
      <c r="CC1" s="9" t="s">
        <v>80</v>
      </c>
      <c r="CD1" s="11" t="s">
        <v>81</v>
      </c>
      <c r="CE1" s="11" t="s">
        <v>82</v>
      </c>
      <c r="CF1" s="11" t="s">
        <v>83</v>
      </c>
      <c r="CG1" s="6" t="s">
        <v>84</v>
      </c>
      <c r="CH1" s="11" t="s">
        <v>85</v>
      </c>
      <c r="CI1" s="11" t="s">
        <v>86</v>
      </c>
      <c r="CJ1" s="11" t="s">
        <v>87</v>
      </c>
      <c r="CK1" s="11" t="s">
        <v>88</v>
      </c>
      <c r="CL1" s="11" t="s">
        <v>89</v>
      </c>
      <c r="CM1" s="6" t="s">
        <v>90</v>
      </c>
      <c r="CN1" s="11" t="s">
        <v>91</v>
      </c>
      <c r="CO1" s="11" t="s">
        <v>92</v>
      </c>
      <c r="CP1" s="11" t="s">
        <v>93</v>
      </c>
      <c r="CQ1" s="11" t="s">
        <v>94</v>
      </c>
      <c r="CR1" s="11" t="s">
        <v>95</v>
      </c>
      <c r="CS1" s="11" t="s">
        <v>96</v>
      </c>
      <c r="CT1" s="11" t="s">
        <v>97</v>
      </c>
      <c r="CU1" s="11" t="s">
        <v>98</v>
      </c>
      <c r="CV1" s="11" t="s">
        <v>99</v>
      </c>
      <c r="CW1" s="11" t="s">
        <v>100</v>
      </c>
      <c r="CX1" s="11" t="s">
        <v>101</v>
      </c>
      <c r="CY1" s="11" t="s">
        <v>102</v>
      </c>
      <c r="CZ1" s="11" t="s">
        <v>103</v>
      </c>
      <c r="DA1" s="6" t="s">
        <v>104</v>
      </c>
      <c r="DB1" s="6" t="s">
        <v>105</v>
      </c>
      <c r="DC1" s="6" t="s">
        <v>106</v>
      </c>
      <c r="DD1" s="13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11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6" t="s">
        <v>139</v>
      </c>
      <c r="EK1" s="13" t="s">
        <v>140</v>
      </c>
      <c r="EL1" s="6" t="s">
        <v>141</v>
      </c>
      <c r="EM1" s="6" t="s">
        <v>142</v>
      </c>
      <c r="EN1" s="6" t="s">
        <v>143</v>
      </c>
      <c r="EO1" s="6" t="s">
        <v>144</v>
      </c>
      <c r="EP1" s="6" t="s">
        <v>145</v>
      </c>
      <c r="EQ1" s="6" t="s">
        <v>146</v>
      </c>
      <c r="ER1" s="14" t="s">
        <v>147</v>
      </c>
      <c r="ES1" s="6" t="s">
        <v>148</v>
      </c>
      <c r="ET1" s="6" t="s">
        <v>149</v>
      </c>
      <c r="EU1" s="6" t="s">
        <v>150</v>
      </c>
      <c r="EV1" s="6" t="s">
        <v>151</v>
      </c>
      <c r="EW1" s="6" t="s">
        <v>152</v>
      </c>
      <c r="EX1" s="6" t="s">
        <v>153</v>
      </c>
      <c r="EY1" s="6" t="s">
        <v>154</v>
      </c>
      <c r="EZ1" s="6" t="s">
        <v>155</v>
      </c>
      <c r="FA1" s="6" t="s">
        <v>156</v>
      </c>
      <c r="FB1" s="6" t="s">
        <v>157</v>
      </c>
      <c r="FC1" s="9" t="s">
        <v>158</v>
      </c>
      <c r="FD1" s="11" t="s">
        <v>159</v>
      </c>
      <c r="FE1" s="6" t="s">
        <v>160</v>
      </c>
      <c r="FF1" s="6" t="s">
        <v>161</v>
      </c>
      <c r="FG1" s="6" t="s">
        <v>162</v>
      </c>
      <c r="FH1" s="13" t="s">
        <v>163</v>
      </c>
      <c r="FI1" s="15" t="s">
        <v>164</v>
      </c>
      <c r="FJ1" s="6" t="s">
        <v>165</v>
      </c>
      <c r="FK1" s="6" t="s">
        <v>166</v>
      </c>
      <c r="FL1" s="6" t="s">
        <v>167</v>
      </c>
      <c r="FM1" s="6" t="s">
        <v>168</v>
      </c>
      <c r="FN1" s="6" t="s">
        <v>169</v>
      </c>
      <c r="FO1" s="10" t="s">
        <v>170</v>
      </c>
      <c r="FP1" s="10" t="s">
        <v>171</v>
      </c>
      <c r="FQ1" s="6" t="s">
        <v>172</v>
      </c>
      <c r="FR1" s="6" t="s">
        <v>173</v>
      </c>
      <c r="FS1" s="10" t="s">
        <v>174</v>
      </c>
      <c r="FT1" s="6" t="s">
        <v>175</v>
      </c>
      <c r="FU1" s="6" t="s">
        <v>176</v>
      </c>
      <c r="FV1" s="6" t="s">
        <v>177</v>
      </c>
      <c r="FW1" s="6" t="s">
        <v>178</v>
      </c>
      <c r="FX1" s="6" t="s">
        <v>179</v>
      </c>
      <c r="FY1" s="6" t="s">
        <v>180</v>
      </c>
      <c r="FZ1" s="6" t="s">
        <v>181</v>
      </c>
      <c r="GA1" s="6" t="s">
        <v>182</v>
      </c>
      <c r="GB1" s="6" t="s">
        <v>183</v>
      </c>
      <c r="GC1" s="6" t="s">
        <v>184</v>
      </c>
      <c r="GD1" s="6" t="s">
        <v>185</v>
      </c>
      <c r="GE1" s="6" t="s">
        <v>186</v>
      </c>
      <c r="GF1" s="6" t="s">
        <v>187</v>
      </c>
      <c r="GG1" s="6" t="s">
        <v>188</v>
      </c>
      <c r="GH1" s="6" t="s">
        <v>189</v>
      </c>
      <c r="GI1" s="6" t="s">
        <v>190</v>
      </c>
      <c r="GJ1" s="6" t="s">
        <v>191</v>
      </c>
      <c r="GK1" s="6" t="s">
        <v>192</v>
      </c>
      <c r="GL1" s="6" t="s">
        <v>193</v>
      </c>
      <c r="GM1" s="6" t="s">
        <v>194</v>
      </c>
      <c r="GN1" s="6" t="s">
        <v>195</v>
      </c>
      <c r="GO1" s="6" t="s">
        <v>196</v>
      </c>
      <c r="GP1" s="6" t="s">
        <v>197</v>
      </c>
      <c r="GQ1" s="6" t="s">
        <v>198</v>
      </c>
      <c r="GR1" s="6" t="s">
        <v>199</v>
      </c>
      <c r="GS1" s="6" t="s">
        <v>200</v>
      </c>
      <c r="GT1" s="6" t="s">
        <v>201</v>
      </c>
      <c r="GU1" s="6" t="s">
        <v>202</v>
      </c>
      <c r="GV1" s="6" t="s">
        <v>203</v>
      </c>
      <c r="GW1" s="6" t="s">
        <v>204</v>
      </c>
      <c r="GX1" s="16" t="s">
        <v>205</v>
      </c>
      <c r="GY1" s="17" t="s">
        <v>206</v>
      </c>
      <c r="GZ1" s="16" t="s">
        <v>207</v>
      </c>
      <c r="HA1" s="16" t="s">
        <v>208</v>
      </c>
      <c r="HB1" s="16" t="s">
        <v>209</v>
      </c>
      <c r="HC1" s="16" t="s">
        <v>210</v>
      </c>
      <c r="HD1" s="16" t="s">
        <v>211</v>
      </c>
      <c r="HE1" s="16" t="s">
        <v>212</v>
      </c>
      <c r="HF1" s="16" t="s">
        <v>213</v>
      </c>
      <c r="HG1" s="16" t="s">
        <v>214</v>
      </c>
      <c r="HH1" s="16" t="s">
        <v>215</v>
      </c>
      <c r="HI1" s="16" t="s">
        <v>216</v>
      </c>
      <c r="HJ1" s="16" t="s">
        <v>217</v>
      </c>
      <c r="HK1" s="16" t="s">
        <v>218</v>
      </c>
      <c r="HL1" s="16" t="s">
        <v>219</v>
      </c>
      <c r="HM1" s="16" t="s">
        <v>220</v>
      </c>
      <c r="HN1" s="17" t="s">
        <v>221</v>
      </c>
      <c r="HO1" s="16" t="s">
        <v>222</v>
      </c>
      <c r="HP1" s="16" t="s">
        <v>223</v>
      </c>
      <c r="HQ1" s="16" t="s">
        <v>224</v>
      </c>
      <c r="HR1" s="16" t="s">
        <v>225</v>
      </c>
      <c r="HS1" s="16" t="s">
        <v>226</v>
      </c>
      <c r="HT1" s="16" t="s">
        <v>227</v>
      </c>
      <c r="HU1" s="16" t="s">
        <v>228</v>
      </c>
      <c r="HV1" s="16" t="s">
        <v>229</v>
      </c>
      <c r="HW1" s="16" t="s">
        <v>230</v>
      </c>
      <c r="HX1" s="16" t="s">
        <v>231</v>
      </c>
      <c r="HY1" s="16" t="s">
        <v>232</v>
      </c>
      <c r="HZ1" s="16" t="s">
        <v>233</v>
      </c>
      <c r="IA1" s="6" t="s">
        <v>234</v>
      </c>
      <c r="IB1" s="6" t="s">
        <v>235</v>
      </c>
      <c r="IC1" s="6" t="s">
        <v>236</v>
      </c>
      <c r="ID1" s="6" t="s">
        <v>237</v>
      </c>
      <c r="IE1" s="6" t="s">
        <v>238</v>
      </c>
      <c r="IF1" s="6" t="s">
        <v>239</v>
      </c>
      <c r="IG1" s="6" t="s">
        <v>240</v>
      </c>
      <c r="IH1" s="6" t="s">
        <v>241</v>
      </c>
      <c r="II1" s="6" t="s">
        <v>242</v>
      </c>
    </row>
    <row r="2" spans="1:165" ht="12.75" customHeight="1">
      <c r="A2" s="1" t="s">
        <v>243</v>
      </c>
      <c r="C2" s="19">
        <v>939</v>
      </c>
      <c r="D2" s="1" t="s">
        <v>244</v>
      </c>
      <c r="E2" s="3">
        <v>1</v>
      </c>
      <c r="F2" s="1">
        <f>75*$E2</f>
        <v>75</v>
      </c>
      <c r="CC2" s="1"/>
      <c r="ER2" s="1"/>
      <c r="FI2" s="1"/>
    </row>
    <row r="3" spans="1:165" ht="12.75" customHeight="1">
      <c r="A3" s="1" t="s">
        <v>245</v>
      </c>
      <c r="C3" s="19">
        <v>18140</v>
      </c>
      <c r="D3" s="1" t="s">
        <v>246</v>
      </c>
      <c r="E3" s="3">
        <v>2</v>
      </c>
      <c r="G3" s="1">
        <f>500*E3</f>
        <v>1000</v>
      </c>
      <c r="CC3" s="1"/>
      <c r="ER3" s="1"/>
      <c r="FI3" s="1"/>
    </row>
    <row r="4" spans="1:256" s="23" customFormat="1" ht="12.75" customHeight="1">
      <c r="A4" s="20" t="s">
        <v>247</v>
      </c>
      <c r="B4" s="20"/>
      <c r="C4" s="21">
        <v>916</v>
      </c>
      <c r="D4" s="20" t="s">
        <v>248</v>
      </c>
      <c r="E4" s="22">
        <v>1</v>
      </c>
      <c r="H4" s="24"/>
      <c r="I4" s="24"/>
      <c r="J4" s="24"/>
      <c r="K4" s="24"/>
      <c r="L4" s="25"/>
      <c r="M4" s="25"/>
      <c r="N4" s="26"/>
      <c r="O4" s="27"/>
      <c r="P4" s="27"/>
      <c r="Q4" s="27"/>
      <c r="R4" s="28">
        <f>174/(203+174+2*36.5)*800/2*$E4</f>
        <v>154.66666666666666</v>
      </c>
      <c r="S4" s="27"/>
      <c r="T4" s="27"/>
      <c r="U4" s="27"/>
      <c r="V4" s="27"/>
      <c r="W4" s="25"/>
      <c r="X4" s="27"/>
      <c r="Y4" s="27"/>
      <c r="Z4" s="27"/>
      <c r="AA4" s="25"/>
      <c r="AB4" s="25"/>
      <c r="AC4" s="27"/>
      <c r="AD4" s="27"/>
      <c r="AE4" s="27"/>
      <c r="AF4" s="27"/>
      <c r="AG4" s="27"/>
      <c r="AH4" s="27"/>
      <c r="AI4" s="27"/>
      <c r="AJ4" s="25"/>
      <c r="AK4" s="25"/>
      <c r="AL4" s="28">
        <f>203/(203+36.5)*800/2*$E4</f>
        <v>339.03966597077243</v>
      </c>
      <c r="AM4" s="28">
        <f>203/(203+174+2*36.5)*800/2*$E4</f>
        <v>180.44444444444446</v>
      </c>
      <c r="AN4" s="1">
        <f>(58+161)/(75+58+161+36.5)*300/2*$E4</f>
        <v>99.39485627836612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F4" s="27"/>
      <c r="BH4" s="27"/>
      <c r="BI4" s="27"/>
      <c r="BJ4" s="27"/>
      <c r="BK4" s="27"/>
      <c r="BL4" s="27"/>
      <c r="BM4" s="27"/>
      <c r="BN4" s="27"/>
      <c r="BO4" s="27"/>
      <c r="BP4" s="29"/>
      <c r="BQ4" s="27"/>
      <c r="BR4" s="27"/>
      <c r="BS4" s="27"/>
      <c r="BT4" s="27"/>
      <c r="BU4" s="27"/>
      <c r="BV4" s="27"/>
      <c r="BW4" s="27"/>
      <c r="BX4" s="25"/>
      <c r="BY4" s="25"/>
      <c r="BZ4" s="25"/>
      <c r="CA4" s="25"/>
      <c r="CB4" s="25"/>
      <c r="CC4" s="25"/>
      <c r="CD4" s="27"/>
      <c r="CE4" s="27"/>
      <c r="CF4" s="27"/>
      <c r="CH4" s="27"/>
      <c r="CI4" s="27"/>
      <c r="CJ4" s="27"/>
      <c r="CK4" s="27"/>
      <c r="CL4" s="27"/>
      <c r="CN4" s="27"/>
      <c r="CO4" s="27"/>
      <c r="CP4" s="27"/>
      <c r="CQ4" s="27"/>
      <c r="CR4" s="27"/>
      <c r="CS4" s="27"/>
      <c r="CT4" s="27"/>
      <c r="CU4" s="27"/>
      <c r="CV4" s="27"/>
      <c r="CW4" s="1">
        <f>75/(75+58+161+36.5)*500*$E4</f>
        <v>113.464447806354</v>
      </c>
      <c r="CX4" s="30">
        <f>300/2*E4</f>
        <v>150</v>
      </c>
      <c r="CY4" s="27"/>
      <c r="CZ4" s="27"/>
      <c r="DD4" s="31"/>
      <c r="EA4" s="27"/>
      <c r="EJ4" s="32"/>
      <c r="EK4" s="32"/>
      <c r="ER4" s="33"/>
      <c r="FC4" s="27"/>
      <c r="FD4" s="27"/>
      <c r="FH4" s="31"/>
      <c r="FI4" s="34"/>
      <c r="FO4" s="26"/>
      <c r="FP4" s="26"/>
      <c r="FS4" s="26"/>
      <c r="GX4" s="31"/>
      <c r="GY4" s="25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25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9" customFormat="1" ht="12.75" customHeight="1">
      <c r="A5" s="36" t="s">
        <v>249</v>
      </c>
      <c r="B5" s="36"/>
      <c r="C5" s="37">
        <v>681</v>
      </c>
      <c r="D5" s="36" t="s">
        <v>250</v>
      </c>
      <c r="E5" s="38">
        <v>2</v>
      </c>
      <c r="H5" s="40"/>
      <c r="I5" s="41">
        <f>1000/2*$E5</f>
        <v>1000</v>
      </c>
      <c r="J5" s="41"/>
      <c r="K5" s="41"/>
      <c r="L5" s="42"/>
      <c r="M5" s="42"/>
      <c r="N5" s="42"/>
      <c r="O5" s="42"/>
      <c r="P5" s="42"/>
      <c r="Q5" s="42"/>
      <c r="R5" s="42"/>
      <c r="S5" s="42"/>
      <c r="T5" s="42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2"/>
      <c r="AK5" s="42"/>
      <c r="AL5" s="40"/>
      <c r="AM5" s="40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F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2"/>
      <c r="CD5" s="43"/>
      <c r="CE5" s="43"/>
      <c r="CF5" s="43"/>
      <c r="CH5" s="43"/>
      <c r="CI5" s="43"/>
      <c r="CJ5" s="43"/>
      <c r="CK5" s="43"/>
      <c r="CL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D5" s="44"/>
      <c r="EA5" s="43"/>
      <c r="ER5" s="3">
        <f>6/2*E5</f>
        <v>6</v>
      </c>
      <c r="FC5" s="43"/>
      <c r="FD5" s="43"/>
      <c r="FI5" s="45"/>
      <c r="GY5" s="43"/>
      <c r="HN5" s="43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133" ht="12.75" customHeight="1">
      <c r="A6" s="46" t="s">
        <v>251</v>
      </c>
      <c r="B6" s="46"/>
      <c r="C6" s="47">
        <v>903</v>
      </c>
      <c r="D6" s="48" t="s">
        <v>252</v>
      </c>
      <c r="E6" s="49">
        <v>1</v>
      </c>
      <c r="F6" s="50">
        <f>75/4*$E6</f>
        <v>18.75</v>
      </c>
      <c r="G6" s="5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G6" s="52">
        <f>1.5/4*$E6</f>
        <v>0.375</v>
      </c>
      <c r="CR6" s="52">
        <f>1000/4*$E6</f>
        <v>250</v>
      </c>
      <c r="CS6" s="52">
        <f>1000/4*$E6</f>
        <v>250</v>
      </c>
      <c r="EC6" s="52">
        <f>1000/4*$E6</f>
        <v>250</v>
      </c>
    </row>
    <row r="7" spans="1:133" ht="12.75" customHeight="1">
      <c r="A7" s="53" t="s">
        <v>251</v>
      </c>
      <c r="B7" s="53"/>
      <c r="C7" s="54">
        <v>903</v>
      </c>
      <c r="D7" s="55" t="s">
        <v>252</v>
      </c>
      <c r="E7" s="56">
        <v>2</v>
      </c>
      <c r="F7" s="57">
        <f>75/4*$E7</f>
        <v>37.5</v>
      </c>
      <c r="G7" s="5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AG7" s="58">
        <f>1.5/4*$E7</f>
        <v>0.75</v>
      </c>
      <c r="CR7" s="58">
        <f>1000/4*$E7</f>
        <v>500</v>
      </c>
      <c r="CS7" s="58">
        <f>1000/4*$E7</f>
        <v>500</v>
      </c>
      <c r="EC7" s="58">
        <f>1000/4*$E7</f>
        <v>500</v>
      </c>
    </row>
    <row r="8" spans="1:140" ht="12.75" customHeight="1">
      <c r="A8" s="59" t="s">
        <v>253</v>
      </c>
      <c r="B8" s="59"/>
      <c r="C8" s="60">
        <v>620</v>
      </c>
      <c r="D8" s="61" t="s">
        <v>252</v>
      </c>
      <c r="E8" s="49">
        <v>1</v>
      </c>
      <c r="F8" s="50">
        <f>75/4*$E8</f>
        <v>18.75</v>
      </c>
      <c r="G8" s="51"/>
      <c r="I8" s="3"/>
      <c r="J8" s="3"/>
      <c r="K8" s="3"/>
      <c r="L8"/>
      <c r="M8" s="3"/>
      <c r="N8" s="3"/>
      <c r="O8" s="3"/>
      <c r="P8" s="3"/>
      <c r="Q8" s="3"/>
      <c r="R8" s="3"/>
      <c r="S8" s="3"/>
      <c r="T8" s="3"/>
      <c r="CG8" s="52">
        <f>380/4*E8</f>
        <v>95</v>
      </c>
      <c r="CK8" s="52">
        <f>60/4*E8</f>
        <v>15</v>
      </c>
      <c r="CR8" s="52">
        <f>500/4*$E8</f>
        <v>125</v>
      </c>
      <c r="CS8" s="52">
        <f>500/4*$E8</f>
        <v>125</v>
      </c>
      <c r="CT8" s="52">
        <f>420/4*E8</f>
        <v>105</v>
      </c>
      <c r="EC8" s="3"/>
      <c r="EF8" s="52">
        <f>1125/4*$E8</f>
        <v>281.25</v>
      </c>
      <c r="EH8" s="52">
        <f>750/4*E8</f>
        <v>187.5</v>
      </c>
      <c r="EI8" s="3"/>
      <c r="EJ8" s="3"/>
    </row>
    <row r="9" spans="1:140" ht="12.75" customHeight="1">
      <c r="A9" s="62" t="s">
        <v>253</v>
      </c>
      <c r="B9" s="62"/>
      <c r="C9" s="63">
        <v>620</v>
      </c>
      <c r="D9" s="64" t="s">
        <v>252</v>
      </c>
      <c r="E9" s="56">
        <v>2</v>
      </c>
      <c r="F9" s="57">
        <f>75/4*$E9</f>
        <v>37.5</v>
      </c>
      <c r="G9" s="51"/>
      <c r="I9" s="3"/>
      <c r="J9" s="3"/>
      <c r="K9" s="3"/>
      <c r="L9"/>
      <c r="M9" s="3"/>
      <c r="N9" s="3"/>
      <c r="O9" s="3"/>
      <c r="P9" s="3"/>
      <c r="Q9" s="3"/>
      <c r="R9" s="3"/>
      <c r="S9" s="3"/>
      <c r="T9" s="3"/>
      <c r="CG9" s="58">
        <f>380/4*E9</f>
        <v>190</v>
      </c>
      <c r="CK9" s="58">
        <f>60/4*E9</f>
        <v>30</v>
      </c>
      <c r="CR9" s="58">
        <f>500/4*$E9</f>
        <v>250</v>
      </c>
      <c r="CS9" s="58">
        <f>500/4*$E9</f>
        <v>250</v>
      </c>
      <c r="CT9" s="58">
        <f>420/4*E9</f>
        <v>210</v>
      </c>
      <c r="EC9" s="3"/>
      <c r="EF9" s="58">
        <f>1125/4*$E9</f>
        <v>562.5</v>
      </c>
      <c r="EH9" s="58">
        <f>750/4*E9</f>
        <v>375</v>
      </c>
      <c r="EI9" s="3"/>
      <c r="EJ9" s="3"/>
    </row>
    <row r="10" spans="1:165" s="3" customFormat="1" ht="12.75" customHeight="1">
      <c r="A10" s="65" t="s">
        <v>254</v>
      </c>
      <c r="B10" s="65"/>
      <c r="C10" s="66">
        <v>919</v>
      </c>
      <c r="D10" s="67" t="s">
        <v>255</v>
      </c>
      <c r="E10" s="68">
        <v>1</v>
      </c>
      <c r="F10" s="51"/>
      <c r="G10" s="51"/>
      <c r="S10" s="3">
        <f>500*$E10</f>
        <v>500</v>
      </c>
      <c r="AS10" s="3">
        <f>45*E10</f>
        <v>45</v>
      </c>
      <c r="ER10" s="69"/>
      <c r="FI10" s="70"/>
    </row>
    <row r="11" spans="1:165" s="3" customFormat="1" ht="12.75" customHeight="1">
      <c r="A11" s="71" t="s">
        <v>256</v>
      </c>
      <c r="B11" s="72"/>
      <c r="C11" s="73">
        <v>888</v>
      </c>
      <c r="D11" s="74" t="s">
        <v>257</v>
      </c>
      <c r="E11" s="49">
        <v>2</v>
      </c>
      <c r="F11" s="51"/>
      <c r="G11" s="51"/>
      <c r="T11" s="75">
        <f>125*$E11</f>
        <v>250</v>
      </c>
      <c r="ER11" s="69"/>
      <c r="FI11" s="70"/>
    </row>
    <row r="12" spans="1:165" s="3" customFormat="1" ht="12.75" customHeight="1">
      <c r="A12" s="76" t="s">
        <v>256</v>
      </c>
      <c r="B12" s="62"/>
      <c r="C12" s="63">
        <v>888</v>
      </c>
      <c r="D12" s="64" t="s">
        <v>257</v>
      </c>
      <c r="E12" s="56">
        <v>1</v>
      </c>
      <c r="F12" s="51"/>
      <c r="G12" s="51"/>
      <c r="T12" s="58">
        <f>125*$E12</f>
        <v>125</v>
      </c>
      <c r="ER12" s="69"/>
      <c r="FI12" s="70"/>
    </row>
    <row r="13" spans="1:224" ht="12.75" customHeight="1">
      <c r="A13" s="59" t="s">
        <v>258</v>
      </c>
      <c r="B13" s="59"/>
      <c r="C13" s="60">
        <v>26591</v>
      </c>
      <c r="D13" s="61" t="s">
        <v>259</v>
      </c>
      <c r="E13" s="49">
        <v>2</v>
      </c>
      <c r="F13" s="77"/>
      <c r="G13" s="7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W13" s="52">
        <f>4000*E13</f>
        <v>8000</v>
      </c>
      <c r="DT13" s="52">
        <f>40/1000*E13</f>
        <v>0.08</v>
      </c>
      <c r="HP13" s="52">
        <f>50*E13</f>
        <v>100</v>
      </c>
    </row>
    <row r="14" spans="1:224" ht="12.75" customHeight="1">
      <c r="A14" s="62" t="s">
        <v>258</v>
      </c>
      <c r="B14" s="62"/>
      <c r="C14" s="63">
        <v>26591</v>
      </c>
      <c r="D14" s="64" t="s">
        <v>259</v>
      </c>
      <c r="E14" s="56">
        <v>1.5</v>
      </c>
      <c r="F14" s="77"/>
      <c r="G14" s="7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W14" s="58">
        <f>4000*E14</f>
        <v>6000</v>
      </c>
      <c r="DT14" s="58">
        <f>40/1000*E14</f>
        <v>0.06</v>
      </c>
      <c r="HP14" s="58">
        <f>50*E14</f>
        <v>75</v>
      </c>
    </row>
    <row r="15" spans="1:24" ht="12.75" customHeight="1">
      <c r="A15" s="59" t="s">
        <v>260</v>
      </c>
      <c r="B15" s="59"/>
      <c r="C15" s="60">
        <v>13641</v>
      </c>
      <c r="D15" s="61" t="s">
        <v>261</v>
      </c>
      <c r="E15" s="49">
        <v>36</v>
      </c>
      <c r="F15" s="77"/>
      <c r="G15" s="7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W15" s="3"/>
      <c r="X15" s="52">
        <f>0.5/30*$E15</f>
        <v>0.6</v>
      </c>
    </row>
    <row r="16" spans="1:24" ht="12.75" customHeight="1">
      <c r="A16" s="62" t="s">
        <v>260</v>
      </c>
      <c r="B16" s="62"/>
      <c r="C16" s="63">
        <v>13641</v>
      </c>
      <c r="D16" s="64" t="s">
        <v>261</v>
      </c>
      <c r="E16" s="56">
        <v>24</v>
      </c>
      <c r="F16" s="77"/>
      <c r="G16" s="7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W16" s="3"/>
      <c r="X16" s="58">
        <f>0.5/30*$E16</f>
        <v>0.4</v>
      </c>
    </row>
    <row r="17" spans="1:24" ht="12.75" customHeight="1">
      <c r="A17" s="78" t="s">
        <v>262</v>
      </c>
      <c r="B17" s="78"/>
      <c r="C17" s="37">
        <v>12024</v>
      </c>
      <c r="D17" s="79" t="s">
        <v>263</v>
      </c>
      <c r="E17" s="68">
        <v>3</v>
      </c>
      <c r="F17" s="77"/>
      <c r="G17" s="77"/>
      <c r="X17" t="s">
        <v>264</v>
      </c>
    </row>
    <row r="18" spans="1:191" ht="12.75" customHeight="1">
      <c r="A18" s="80" t="s">
        <v>265</v>
      </c>
      <c r="B18" s="80"/>
      <c r="C18" s="81">
        <v>13127</v>
      </c>
      <c r="D18" s="82" t="s">
        <v>266</v>
      </c>
      <c r="E18" s="49">
        <v>2</v>
      </c>
      <c r="F18" s="77"/>
      <c r="G18" s="77"/>
      <c r="Y18" s="83">
        <f>500*E18/2</f>
        <v>500</v>
      </c>
      <c r="Z18" s="3"/>
      <c r="AJ18" s="52">
        <f>86*$E18/2</f>
        <v>86</v>
      </c>
      <c r="BJ18" s="84">
        <f>100*$E18/2</f>
        <v>100</v>
      </c>
      <c r="GI18" s="83">
        <f>5*$E18/2</f>
        <v>5</v>
      </c>
    </row>
    <row r="19" spans="1:208" ht="12.75" customHeight="1">
      <c r="A19" s="78" t="s">
        <v>267</v>
      </c>
      <c r="B19" s="78"/>
      <c r="C19" s="37">
        <v>91</v>
      </c>
      <c r="D19" s="79" t="s">
        <v>268</v>
      </c>
      <c r="E19" s="68">
        <v>1</v>
      </c>
      <c r="F19" s="77"/>
      <c r="G19" s="77"/>
      <c r="GZ19" s="1">
        <f>500*E19</f>
        <v>500</v>
      </c>
    </row>
    <row r="20" spans="1:209" ht="12.75" customHeight="1">
      <c r="A20" s="78" t="s">
        <v>269</v>
      </c>
      <c r="B20" s="65"/>
      <c r="C20" s="37">
        <v>93</v>
      </c>
      <c r="D20" s="79" t="s">
        <v>270</v>
      </c>
      <c r="E20" s="68">
        <v>2</v>
      </c>
      <c r="F20" s="85"/>
      <c r="G20" s="85"/>
      <c r="HA20" s="1">
        <f>100*E20</f>
        <v>200</v>
      </c>
    </row>
    <row r="21" spans="1:208" ht="12.75" customHeight="1">
      <c r="A21" s="78" t="s">
        <v>271</v>
      </c>
      <c r="B21" s="65"/>
      <c r="C21" s="37">
        <v>925</v>
      </c>
      <c r="D21" s="79" t="s">
        <v>272</v>
      </c>
      <c r="E21" s="68">
        <v>2</v>
      </c>
      <c r="F21" s="85"/>
      <c r="G21" s="85"/>
      <c r="GY21" s="1">
        <f>250*E21</f>
        <v>500</v>
      </c>
      <c r="GZ21" s="1">
        <f>10*E21</f>
        <v>20</v>
      </c>
    </row>
    <row r="22" spans="1:165" s="3" customFormat="1" ht="12.75" customHeight="1">
      <c r="A22" s="65" t="s">
        <v>273</v>
      </c>
      <c r="B22" s="65"/>
      <c r="C22" s="66">
        <v>497</v>
      </c>
      <c r="D22" s="67" t="s">
        <v>274</v>
      </c>
      <c r="E22" s="68">
        <v>2</v>
      </c>
      <c r="F22" s="51"/>
      <c r="G22" s="51"/>
      <c r="O22" s="3">
        <f>0.25*100*E22</f>
        <v>50</v>
      </c>
      <c r="ER22" s="69"/>
      <c r="FI22" s="70"/>
    </row>
    <row r="23" spans="1:188" s="3" customFormat="1" ht="12.75" customHeight="1">
      <c r="A23" s="65" t="s">
        <v>275</v>
      </c>
      <c r="B23" s="65"/>
      <c r="C23" s="66">
        <v>55</v>
      </c>
      <c r="D23" s="67" t="s">
        <v>276</v>
      </c>
      <c r="E23" s="68">
        <v>1</v>
      </c>
      <c r="F23" s="51"/>
      <c r="G23" s="51"/>
      <c r="ER23" s="69"/>
      <c r="FI23" s="70"/>
      <c r="GF23" s="3">
        <f>5*E$23</f>
        <v>5</v>
      </c>
    </row>
    <row r="24" spans="1:31" ht="12.75" customHeight="1">
      <c r="A24" s="80" t="s">
        <v>277</v>
      </c>
      <c r="B24" s="80"/>
      <c r="C24" s="86">
        <v>145</v>
      </c>
      <c r="D24" s="82" t="s">
        <v>278</v>
      </c>
      <c r="E24" s="87">
        <f>1.2*1.2</f>
        <v>1.44</v>
      </c>
      <c r="F24" s="51"/>
      <c r="G24" s="51"/>
      <c r="AE24" s="83">
        <f>E24*1000000*0.01</f>
        <v>14400</v>
      </c>
    </row>
    <row r="25" spans="1:31" ht="12.75" customHeight="1">
      <c r="A25" s="62" t="s">
        <v>277</v>
      </c>
      <c r="B25" s="62"/>
      <c r="C25" s="63">
        <v>145</v>
      </c>
      <c r="D25" s="64" t="s">
        <v>278</v>
      </c>
      <c r="E25" s="56">
        <f>0.8*1.2</f>
        <v>0.96</v>
      </c>
      <c r="F25" s="51"/>
      <c r="G25" s="51"/>
      <c r="AE25" s="58">
        <f>E25*1000000*0.01</f>
        <v>9600</v>
      </c>
    </row>
    <row r="26" spans="1:160" ht="12.75" customHeight="1">
      <c r="A26" s="65" t="s">
        <v>279</v>
      </c>
      <c r="B26" s="65"/>
      <c r="C26" s="66">
        <v>1238</v>
      </c>
      <c r="D26" s="67" t="s">
        <v>280</v>
      </c>
      <c r="E26" s="68">
        <v>1</v>
      </c>
      <c r="F26" s="51"/>
      <c r="G26" s="51"/>
      <c r="P26" s="1">
        <f>(5.25+1+6.25)*E26</f>
        <v>12.5</v>
      </c>
      <c r="AY26" s="1">
        <f>112*E26</f>
        <v>112</v>
      </c>
      <c r="FC26" s="1">
        <f>0.45*112*E26</f>
        <v>50.4</v>
      </c>
      <c r="FD26" s="1">
        <f>200*$E26</f>
        <v>200</v>
      </c>
    </row>
    <row r="27" spans="1:243" s="93" customFormat="1" ht="12.75" customHeight="1">
      <c r="A27" s="88" t="s">
        <v>281</v>
      </c>
      <c r="B27" s="88"/>
      <c r="C27" s="89">
        <v>811</v>
      </c>
      <c r="D27" s="90" t="s">
        <v>282</v>
      </c>
      <c r="E27" s="91">
        <v>0</v>
      </c>
      <c r="F27" s="92"/>
      <c r="G27" s="92"/>
      <c r="AG27" s="93">
        <f>3/5*E27</f>
        <v>0</v>
      </c>
      <c r="AJ27" s="93">
        <f>1200/5*E27</f>
        <v>0</v>
      </c>
      <c r="DX27" s="93">
        <f>340/5*$E27</f>
        <v>0</v>
      </c>
      <c r="DY27" s="93">
        <f>1/5*$E27</f>
        <v>0</v>
      </c>
      <c r="ER27" s="94"/>
      <c r="FI27" s="95"/>
      <c r="GF27" s="93">
        <f>5/5*$E27</f>
        <v>0</v>
      </c>
      <c r="HO27" s="93">
        <f>1000/5*$E27</f>
        <v>0</v>
      </c>
      <c r="II27" s="93">
        <f>2/5*$E27</f>
        <v>0</v>
      </c>
    </row>
    <row r="28" spans="1:216" s="93" customFormat="1" ht="12.75" customHeight="1">
      <c r="A28" s="88" t="s">
        <v>283</v>
      </c>
      <c r="B28" s="88"/>
      <c r="C28" s="89">
        <v>253</v>
      </c>
      <c r="D28" s="90" t="s">
        <v>284</v>
      </c>
      <c r="E28" s="91">
        <v>0</v>
      </c>
      <c r="F28" s="92"/>
      <c r="G28" s="92"/>
      <c r="DL28" s="93">
        <f>600/4*E28</f>
        <v>0</v>
      </c>
      <c r="DM28" s="93">
        <f>1200/4*E28</f>
        <v>0</v>
      </c>
      <c r="ER28" s="94"/>
      <c r="FI28" s="95"/>
      <c r="GU28" s="93">
        <f>600/4*E28</f>
        <v>0</v>
      </c>
      <c r="HH28" s="93">
        <f>10/4*E28</f>
        <v>0</v>
      </c>
    </row>
    <row r="29" spans="1:216" s="93" customFormat="1" ht="12.75" customHeight="1">
      <c r="A29" s="88" t="s">
        <v>283</v>
      </c>
      <c r="B29" s="88"/>
      <c r="C29" s="89">
        <v>253</v>
      </c>
      <c r="D29" s="90" t="s">
        <v>284</v>
      </c>
      <c r="E29" s="91">
        <v>0</v>
      </c>
      <c r="F29" s="92"/>
      <c r="G29" s="92"/>
      <c r="DL29" s="93">
        <f>600/4*E29</f>
        <v>0</v>
      </c>
      <c r="DM29" s="93">
        <f>1200/4*E29</f>
        <v>0</v>
      </c>
      <c r="ER29" s="94"/>
      <c r="FI29" s="95"/>
      <c r="GU29" s="93">
        <f>600/4*E29</f>
        <v>0</v>
      </c>
      <c r="HH29" s="93">
        <f>10/4*E29</f>
        <v>0</v>
      </c>
    </row>
    <row r="30" spans="1:223" s="3" customFormat="1" ht="12.75" customHeight="1">
      <c r="A30" s="62" t="s">
        <v>285</v>
      </c>
      <c r="B30" s="62"/>
      <c r="C30" s="63">
        <v>999</v>
      </c>
      <c r="D30" s="64" t="s">
        <v>280</v>
      </c>
      <c r="E30" s="56">
        <v>2</v>
      </c>
      <c r="F30" s="51"/>
      <c r="G30" s="51"/>
      <c r="AH30" s="58">
        <f>550/2*E30</f>
        <v>550</v>
      </c>
      <c r="AJ30" s="58">
        <f>16.5/2*E30</f>
        <v>16.5</v>
      </c>
      <c r="BP30" s="58">
        <f>14/2*E30</f>
        <v>14</v>
      </c>
      <c r="CP30" s="58">
        <f>(408/448*137.5)/2*E30</f>
        <v>125.22321428571428</v>
      </c>
      <c r="DE30" s="58">
        <f>100/2*E30</f>
        <v>100</v>
      </c>
      <c r="DI30" s="58">
        <f>2/2*E30</f>
        <v>2</v>
      </c>
      <c r="EJ30" s="58">
        <f>25/2*E30</f>
        <v>25</v>
      </c>
      <c r="ER30" s="69"/>
      <c r="FI30" s="70"/>
      <c r="GL30" s="58">
        <f>111.5/2*E30</f>
        <v>111.5</v>
      </c>
      <c r="HO30" s="58">
        <f>1000/2*E30</f>
        <v>1000</v>
      </c>
    </row>
    <row r="31" spans="1:165" s="3" customFormat="1" ht="12.75" customHeight="1">
      <c r="A31" s="65" t="s">
        <v>286</v>
      </c>
      <c r="B31" s="65"/>
      <c r="C31" s="66">
        <v>1203</v>
      </c>
      <c r="D31" s="67" t="s">
        <v>287</v>
      </c>
      <c r="E31" s="68">
        <v>2</v>
      </c>
      <c r="F31" s="51"/>
      <c r="G31" s="51"/>
      <c r="AI31" s="3">
        <f>500*E31</f>
        <v>1000</v>
      </c>
      <c r="ER31" s="69"/>
      <c r="FI31" s="70"/>
    </row>
    <row r="32" spans="1:167" ht="12.75" customHeight="1">
      <c r="A32" s="80" t="s">
        <v>288</v>
      </c>
      <c r="B32" s="80"/>
      <c r="C32" s="86">
        <v>21259</v>
      </c>
      <c r="D32" s="82" t="s">
        <v>289</v>
      </c>
      <c r="E32" s="49">
        <v>4</v>
      </c>
      <c r="F32" s="77"/>
      <c r="G32" s="7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J32" s="52">
        <f>110*E32</f>
        <v>440</v>
      </c>
      <c r="DT32" s="3"/>
      <c r="DU32" s="3"/>
      <c r="DV32" s="3"/>
      <c r="DW32" s="3"/>
      <c r="DX32" s="3"/>
      <c r="DY32" s="3"/>
      <c r="ER32" s="69"/>
      <c r="FK32" s="83">
        <f>530*E32</f>
        <v>2120</v>
      </c>
    </row>
    <row r="33" spans="1:167" ht="12.75" customHeight="1">
      <c r="A33" s="62" t="s">
        <v>288</v>
      </c>
      <c r="B33" s="62"/>
      <c r="C33" s="63">
        <v>21259</v>
      </c>
      <c r="D33" s="64" t="s">
        <v>289</v>
      </c>
      <c r="E33" s="56">
        <v>3</v>
      </c>
      <c r="F33" s="77"/>
      <c r="G33" s="77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J33" s="58">
        <f>110*E33</f>
        <v>330</v>
      </c>
      <c r="DT33" s="3"/>
      <c r="DU33" s="3"/>
      <c r="DV33" s="3"/>
      <c r="DW33" s="3"/>
      <c r="DX33" s="3"/>
      <c r="DY33" s="3"/>
      <c r="ER33" s="69"/>
      <c r="FK33" s="58">
        <f>530*E33</f>
        <v>1590</v>
      </c>
    </row>
    <row r="34" spans="1:243" s="3" customFormat="1" ht="12.75" customHeight="1">
      <c r="A34" s="65" t="s">
        <v>290</v>
      </c>
      <c r="B34" s="65"/>
      <c r="C34" s="66">
        <v>958</v>
      </c>
      <c r="D34" s="67" t="s">
        <v>280</v>
      </c>
      <c r="E34" s="68">
        <v>2</v>
      </c>
      <c r="F34" s="51"/>
      <c r="G34" s="51"/>
      <c r="AO34" s="3">
        <f>(25-6)*$E34</f>
        <v>38</v>
      </c>
      <c r="CE34" s="3">
        <f>375*$E34</f>
        <v>750</v>
      </c>
      <c r="DQ34" s="3">
        <f>250*$E34</f>
        <v>500</v>
      </c>
      <c r="ER34" s="69"/>
      <c r="FI34" s="70"/>
      <c r="II34" s="3">
        <f>6*$E34</f>
        <v>12</v>
      </c>
    </row>
    <row r="35" spans="1:165" s="3" customFormat="1" ht="12.75" customHeight="1">
      <c r="A35" s="65" t="s">
        <v>291</v>
      </c>
      <c r="B35" s="65"/>
      <c r="C35" s="66">
        <v>966</v>
      </c>
      <c r="D35" s="67" t="s">
        <v>292</v>
      </c>
      <c r="E35" s="68">
        <v>1</v>
      </c>
      <c r="F35" s="51"/>
      <c r="G35" s="51"/>
      <c r="AP35" s="3">
        <f>350*E35</f>
        <v>350</v>
      </c>
      <c r="ER35" s="69"/>
      <c r="FI35" s="70"/>
    </row>
    <row r="36" spans="1:165" s="93" customFormat="1" ht="12.75" customHeight="1">
      <c r="A36" s="88" t="s">
        <v>293</v>
      </c>
      <c r="B36" s="88"/>
      <c r="C36" s="89">
        <v>390</v>
      </c>
      <c r="D36" s="90" t="s">
        <v>294</v>
      </c>
      <c r="E36" s="91">
        <v>0</v>
      </c>
      <c r="F36" s="92"/>
      <c r="G36" s="92"/>
      <c r="BH36" s="93">
        <f>250*$E36</f>
        <v>0</v>
      </c>
      <c r="ER36" s="94"/>
      <c r="FI36" s="95"/>
    </row>
    <row r="37" spans="1:155" ht="12.75" customHeight="1">
      <c r="A37" s="78" t="s">
        <v>295</v>
      </c>
      <c r="B37" s="78"/>
      <c r="C37" s="37">
        <v>485</v>
      </c>
      <c r="D37" s="79" t="s">
        <v>296</v>
      </c>
      <c r="E37" s="96">
        <v>2</v>
      </c>
      <c r="F37" s="77"/>
      <c r="G37" s="77"/>
      <c r="AJ37" s="3">
        <f>130/2*$E37</f>
        <v>130</v>
      </c>
      <c r="DG37" s="1">
        <f>110*$E37</f>
        <v>220</v>
      </c>
      <c r="DH37" s="1">
        <f>400*$E37</f>
        <v>800</v>
      </c>
      <c r="DX37" s="1">
        <f>40/2*$E37</f>
        <v>40</v>
      </c>
      <c r="EY37" s="1">
        <f>190/2*$E37</f>
        <v>190</v>
      </c>
    </row>
    <row r="38" spans="1:243" ht="12.75" customHeight="1">
      <c r="A38" s="72" t="s">
        <v>297</v>
      </c>
      <c r="B38" s="72"/>
      <c r="C38" s="73">
        <v>601</v>
      </c>
      <c r="D38" s="74" t="s">
        <v>298</v>
      </c>
      <c r="E38" s="49">
        <v>2</v>
      </c>
      <c r="F38" s="77"/>
      <c r="G38" s="77"/>
      <c r="AT38" s="75">
        <f>100*E38</f>
        <v>200</v>
      </c>
      <c r="BA38" s="75">
        <f>1*E38</f>
        <v>2</v>
      </c>
      <c r="II38" s="75">
        <f>10*E38</f>
        <v>20</v>
      </c>
    </row>
    <row r="39" spans="1:243" ht="12.75" customHeight="1">
      <c r="A39" s="62" t="s">
        <v>297</v>
      </c>
      <c r="B39" s="62"/>
      <c r="C39" s="63">
        <v>601</v>
      </c>
      <c r="D39" s="64" t="s">
        <v>298</v>
      </c>
      <c r="E39" s="56">
        <v>1</v>
      </c>
      <c r="F39" s="77"/>
      <c r="G39" s="77"/>
      <c r="AT39" s="58">
        <f>100*E39</f>
        <v>100</v>
      </c>
      <c r="BA39" s="58">
        <f>1*E39</f>
        <v>1</v>
      </c>
      <c r="II39" s="58">
        <f>10*E39</f>
        <v>10</v>
      </c>
    </row>
    <row r="40" spans="1:243" ht="12.75" customHeight="1">
      <c r="A40" s="80" t="s">
        <v>299</v>
      </c>
      <c r="B40" s="80"/>
      <c r="C40" s="86">
        <v>142</v>
      </c>
      <c r="D40" s="82" t="s">
        <v>300</v>
      </c>
      <c r="E40" s="87">
        <v>4.3</v>
      </c>
      <c r="F40" s="77"/>
      <c r="G40" s="77"/>
      <c r="AT40" s="97"/>
      <c r="AU40" s="83">
        <f>0.411*1000*$E40</f>
        <v>1767.3000000000002</v>
      </c>
      <c r="II40" s="3"/>
    </row>
    <row r="41" spans="1:47" ht="12.75" customHeight="1">
      <c r="A41" s="62" t="s">
        <v>299</v>
      </c>
      <c r="B41" s="62"/>
      <c r="C41" s="63">
        <v>142</v>
      </c>
      <c r="D41" s="64" t="s">
        <v>300</v>
      </c>
      <c r="E41" s="56">
        <v>2.7</v>
      </c>
      <c r="F41" s="77"/>
      <c r="G41" s="77"/>
      <c r="AU41" s="58">
        <f>0.411*1000*$E41</f>
        <v>1109.7000000000003</v>
      </c>
    </row>
    <row r="42" spans="1:98" ht="12.75" customHeight="1">
      <c r="A42" s="80" t="s">
        <v>301</v>
      </c>
      <c r="B42" s="80"/>
      <c r="C42" s="86">
        <v>364</v>
      </c>
      <c r="D42" s="82" t="s">
        <v>302</v>
      </c>
      <c r="E42" s="49">
        <v>2</v>
      </c>
      <c r="F42" s="51"/>
      <c r="G42" s="51"/>
      <c r="CG42" s="83">
        <f>190*E42</f>
        <v>380</v>
      </c>
      <c r="CT42" s="83">
        <f>210*E42</f>
        <v>420</v>
      </c>
    </row>
    <row r="43" spans="1:98" ht="12.75" customHeight="1">
      <c r="A43" s="62" t="s">
        <v>301</v>
      </c>
      <c r="B43" s="62"/>
      <c r="C43" s="63">
        <v>364</v>
      </c>
      <c r="D43" s="64" t="s">
        <v>302</v>
      </c>
      <c r="E43" s="56">
        <v>2</v>
      </c>
      <c r="F43" s="51"/>
      <c r="G43" s="51"/>
      <c r="CG43" s="58">
        <f>190*E43</f>
        <v>380</v>
      </c>
      <c r="CT43" s="58">
        <f>210*E43</f>
        <v>420</v>
      </c>
    </row>
    <row r="44" spans="1:51" ht="12.75" customHeight="1">
      <c r="A44" s="80" t="s">
        <v>303</v>
      </c>
      <c r="B44" s="80"/>
      <c r="C44" s="86">
        <v>967</v>
      </c>
      <c r="D44" s="82" t="s">
        <v>284</v>
      </c>
      <c r="E44" s="49">
        <v>2</v>
      </c>
      <c r="F44" s="51"/>
      <c r="G44" s="51"/>
      <c r="AV44" s="75">
        <f>133*$E44</f>
        <v>266</v>
      </c>
      <c r="AW44" s="3"/>
      <c r="AX44" s="75">
        <f>175*$E44</f>
        <v>350</v>
      </c>
      <c r="AY44" s="3"/>
    </row>
    <row r="45" spans="1:51" ht="12.75" customHeight="1">
      <c r="A45" s="62" t="s">
        <v>303</v>
      </c>
      <c r="B45" s="62"/>
      <c r="C45" s="63">
        <v>967</v>
      </c>
      <c r="D45" s="64" t="s">
        <v>284</v>
      </c>
      <c r="E45" s="56">
        <v>1</v>
      </c>
      <c r="F45" s="51"/>
      <c r="G45" s="51"/>
      <c r="AV45" s="58">
        <f>133*$E45</f>
        <v>133</v>
      </c>
      <c r="AW45" s="3"/>
      <c r="AX45" s="58">
        <f>175*$E45</f>
        <v>175</v>
      </c>
      <c r="AY45" s="3"/>
    </row>
    <row r="46" spans="1:177" ht="12.75" customHeight="1">
      <c r="A46" s="59" t="s">
        <v>304</v>
      </c>
      <c r="B46" s="59"/>
      <c r="C46" s="60">
        <v>69</v>
      </c>
      <c r="D46" s="59" t="s">
        <v>305</v>
      </c>
      <c r="E46" s="50">
        <v>2</v>
      </c>
      <c r="F46" s="77"/>
      <c r="G46" s="77"/>
      <c r="AD46" s="52">
        <f>0.5*1400/2*E46</f>
        <v>700</v>
      </c>
      <c r="AE46"/>
      <c r="AG46" s="4"/>
      <c r="BS46"/>
      <c r="BT46"/>
      <c r="BU46"/>
      <c r="CC46" s="1"/>
      <c r="CV46"/>
      <c r="DB46" s="52">
        <f>0.35*700*$E46</f>
        <v>490.00000000000006</v>
      </c>
      <c r="ER46" s="1"/>
      <c r="FH46"/>
      <c r="FI46" s="1"/>
      <c r="FT46" s="58">
        <f>100/2*$E46</f>
        <v>100</v>
      </c>
      <c r="FU46" s="3"/>
    </row>
    <row r="47" spans="1:177" ht="12.75" customHeight="1">
      <c r="A47" s="62" t="s">
        <v>304</v>
      </c>
      <c r="B47" s="62"/>
      <c r="C47" s="63">
        <v>69</v>
      </c>
      <c r="D47" s="62" t="s">
        <v>305</v>
      </c>
      <c r="E47" s="57">
        <v>2</v>
      </c>
      <c r="F47" s="77"/>
      <c r="G47" s="77"/>
      <c r="AD47" s="58">
        <f>0.5*1400/2*E47</f>
        <v>700</v>
      </c>
      <c r="AE47"/>
      <c r="AG47" s="4"/>
      <c r="BS47"/>
      <c r="BT47"/>
      <c r="BU47"/>
      <c r="CC47" s="1"/>
      <c r="CV47"/>
      <c r="DB47" s="58">
        <f>0.35*700*$E47</f>
        <v>490.00000000000006</v>
      </c>
      <c r="ER47" s="1"/>
      <c r="FH47"/>
      <c r="FI47" s="1"/>
      <c r="FT47" s="58">
        <f>100/2*$E47</f>
        <v>100</v>
      </c>
      <c r="FU47" s="3"/>
    </row>
    <row r="48" spans="1:205" ht="12.75" customHeight="1">
      <c r="A48" s="80" t="s">
        <v>306</v>
      </c>
      <c r="B48" s="80"/>
      <c r="C48" s="86">
        <v>921</v>
      </c>
      <c r="D48" s="82" t="s">
        <v>284</v>
      </c>
      <c r="E48" s="49">
        <v>3</v>
      </c>
      <c r="F48" s="77"/>
      <c r="G48" s="77"/>
      <c r="P48" s="75">
        <f>7.35/3*$E48</f>
        <v>7.35</v>
      </c>
      <c r="T48" s="98">
        <f>125/3*E48</f>
        <v>125</v>
      </c>
      <c r="CK48" s="52">
        <f>(0.05*125)/3*$E48</f>
        <v>6.25</v>
      </c>
      <c r="CV48" s="83">
        <f>600/3*E48</f>
        <v>600</v>
      </c>
      <c r="EU48" s="52">
        <f>100/3*$E48</f>
        <v>100</v>
      </c>
      <c r="EX48" s="83">
        <f>100/3*E48</f>
        <v>100</v>
      </c>
      <c r="FC48" s="83">
        <f>((0.95*50)/3+21/3)*E48</f>
        <v>68.5</v>
      </c>
      <c r="FD48" s="3"/>
      <c r="FE48"/>
      <c r="FH48"/>
      <c r="FS48" s="52">
        <f>(0.2*125)/3*$E48</f>
        <v>25</v>
      </c>
      <c r="GW48" s="83">
        <f>20/3*E48</f>
        <v>20</v>
      </c>
    </row>
    <row r="49" spans="1:205" ht="12.75" customHeight="1">
      <c r="A49" s="62" t="s">
        <v>306</v>
      </c>
      <c r="B49" s="62"/>
      <c r="C49" s="63">
        <v>921</v>
      </c>
      <c r="D49" s="64" t="s">
        <v>284</v>
      </c>
      <c r="E49" s="56">
        <v>2</v>
      </c>
      <c r="F49" s="77"/>
      <c r="G49" s="77"/>
      <c r="P49" s="58">
        <f>7.5/3*$E49</f>
        <v>5</v>
      </c>
      <c r="T49" s="99">
        <f>125/3*E49</f>
        <v>83.33333333333333</v>
      </c>
      <c r="CK49" s="58">
        <f>(0.05*125)/3*$E49</f>
        <v>4.166666666666667</v>
      </c>
      <c r="CV49" s="58">
        <f>600/3*E49</f>
        <v>400</v>
      </c>
      <c r="EU49" s="58">
        <f>100/3*$E49</f>
        <v>66.66666666666667</v>
      </c>
      <c r="EX49" s="100">
        <f>100/3*E49</f>
        <v>66.66666666666667</v>
      </c>
      <c r="FC49" s="58">
        <f>((0.95*50)/3+21/3)*E49</f>
        <v>45.66666666666667</v>
      </c>
      <c r="FD49" s="3"/>
      <c r="FE49"/>
      <c r="FH49"/>
      <c r="FS49" s="58">
        <f>(0.2*125)/3*$E49</f>
        <v>16.666666666666668</v>
      </c>
      <c r="GW49" s="100">
        <f>20/3*E49</f>
        <v>13.333333333333334</v>
      </c>
    </row>
    <row r="50" spans="1:256" ht="12.75" customHeight="1">
      <c r="A50" s="80" t="s">
        <v>307</v>
      </c>
      <c r="B50" s="80"/>
      <c r="C50" s="86">
        <v>862</v>
      </c>
      <c r="D50" s="82" t="s">
        <v>308</v>
      </c>
      <c r="E50" s="49">
        <v>1</v>
      </c>
      <c r="F50" s="77"/>
      <c r="G50" s="77"/>
      <c r="BC50" s="83">
        <f>500*$E50</f>
        <v>500</v>
      </c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55" ht="12.75" customHeight="1">
      <c r="A51" s="62" t="s">
        <v>307</v>
      </c>
      <c r="B51" s="62"/>
      <c r="C51" s="63">
        <v>862</v>
      </c>
      <c r="D51" s="64" t="s">
        <v>308</v>
      </c>
      <c r="E51" s="56">
        <v>4</v>
      </c>
      <c r="F51" s="77"/>
      <c r="G51" s="77"/>
      <c r="BC51" s="58">
        <f>500*$E51</f>
        <v>2000</v>
      </c>
    </row>
    <row r="52" spans="1:56" ht="12.75" customHeight="1">
      <c r="A52" s="80" t="s">
        <v>309</v>
      </c>
      <c r="B52" s="80"/>
      <c r="C52" s="86">
        <v>610</v>
      </c>
      <c r="D52" s="82" t="s">
        <v>310</v>
      </c>
      <c r="E52" s="87">
        <f>1.2*7.5</f>
        <v>9</v>
      </c>
      <c r="F52" s="77"/>
      <c r="G52" s="77"/>
      <c r="BD52" s="83">
        <f>E52*1000</f>
        <v>9000</v>
      </c>
    </row>
    <row r="53" spans="1:56" ht="12.75" customHeight="1">
      <c r="A53" s="62" t="s">
        <v>309</v>
      </c>
      <c r="B53" s="62"/>
      <c r="C53" s="63">
        <v>610</v>
      </c>
      <c r="D53" s="64" t="s">
        <v>310</v>
      </c>
      <c r="E53" s="56">
        <f>0.8*7.5</f>
        <v>6</v>
      </c>
      <c r="F53" s="77"/>
      <c r="G53" s="77"/>
      <c r="BD53" s="58">
        <f>E53*1000</f>
        <v>6000</v>
      </c>
    </row>
    <row r="54" spans="1:148" ht="12.75" customHeight="1">
      <c r="A54" s="65" t="s">
        <v>311</v>
      </c>
      <c r="B54" s="65"/>
      <c r="C54" s="66">
        <v>407</v>
      </c>
      <c r="D54" s="67" t="s">
        <v>312</v>
      </c>
      <c r="E54" s="68">
        <v>1</v>
      </c>
      <c r="F54" s="77"/>
      <c r="G54" s="77"/>
      <c r="AZ54" s="3"/>
      <c r="BE54" s="3">
        <f>0.95*400*$E54</f>
        <v>380</v>
      </c>
      <c r="ER54" s="101">
        <f>5*$E54</f>
        <v>5</v>
      </c>
    </row>
    <row r="55" spans="1:148" ht="12.75" customHeight="1">
      <c r="A55" s="59" t="s">
        <v>313</v>
      </c>
      <c r="B55" s="59"/>
      <c r="C55" s="60">
        <v>882</v>
      </c>
      <c r="D55" s="61" t="s">
        <v>314</v>
      </c>
      <c r="E55" s="49">
        <v>0</v>
      </c>
      <c r="F55" s="77"/>
      <c r="G55" s="77"/>
      <c r="AZ55" s="3"/>
      <c r="BE55" s="3"/>
      <c r="BM55" s="52">
        <f>50*$E55</f>
        <v>0</v>
      </c>
      <c r="ER55" s="101"/>
    </row>
    <row r="56" spans="1:148" ht="12.75" customHeight="1">
      <c r="A56" s="59" t="s">
        <v>313</v>
      </c>
      <c r="B56" s="59"/>
      <c r="C56" s="60">
        <v>335</v>
      </c>
      <c r="D56" s="61" t="s">
        <v>315</v>
      </c>
      <c r="E56" s="49">
        <v>0</v>
      </c>
      <c r="F56" s="77"/>
      <c r="G56" s="77"/>
      <c r="AZ56" s="3"/>
      <c r="BE56" s="3"/>
      <c r="BM56" s="52">
        <f>25*$E56</f>
        <v>0</v>
      </c>
      <c r="ER56" s="101"/>
    </row>
    <row r="57" spans="1:148" ht="12.75" customHeight="1">
      <c r="A57" s="62" t="s">
        <v>313</v>
      </c>
      <c r="B57" s="62"/>
      <c r="C57" s="63">
        <v>335</v>
      </c>
      <c r="D57" s="64" t="s">
        <v>315</v>
      </c>
      <c r="E57" s="56">
        <v>0</v>
      </c>
      <c r="F57" s="77"/>
      <c r="G57" s="77"/>
      <c r="AZ57" s="3"/>
      <c r="BE57" s="3"/>
      <c r="BM57" s="58">
        <f>25*$E57</f>
        <v>0</v>
      </c>
      <c r="ER57" s="101"/>
    </row>
    <row r="58" spans="1:256" s="3" customFormat="1" ht="12.75" customHeight="1">
      <c r="A58" s="65" t="s">
        <v>316</v>
      </c>
      <c r="B58" s="65"/>
      <c r="C58" s="66">
        <v>850</v>
      </c>
      <c r="D58" s="67" t="s">
        <v>317</v>
      </c>
      <c r="E58" s="68">
        <v>1</v>
      </c>
      <c r="F58" s="51"/>
      <c r="G58" s="51"/>
      <c r="AQ58" s="3">
        <f>0.32*25*E58</f>
        <v>8</v>
      </c>
      <c r="BE58" s="3">
        <f>0.95*25*E58</f>
        <v>23.75</v>
      </c>
      <c r="BM58" s="3">
        <f>25*E58</f>
        <v>25</v>
      </c>
      <c r="BN58" s="3">
        <f>100*E58</f>
        <v>100</v>
      </c>
      <c r="BX58" s="3">
        <f>0.58*25*E58</f>
        <v>14.499999999999998</v>
      </c>
      <c r="ER58" s="69"/>
      <c r="FI58" s="70"/>
      <c r="FN58" s="3">
        <f>1*E58</f>
        <v>1</v>
      </c>
      <c r="HN58" s="3">
        <f>25*E58</f>
        <v>25</v>
      </c>
      <c r="HP58" s="3">
        <f>25*E58</f>
        <v>25</v>
      </c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12.75" customHeight="1">
      <c r="A59" s="62" t="s">
        <v>318</v>
      </c>
      <c r="B59" s="62"/>
      <c r="C59" s="63">
        <v>1272</v>
      </c>
      <c r="D59" s="64" t="s">
        <v>319</v>
      </c>
      <c r="E59" s="56">
        <v>2</v>
      </c>
      <c r="F59" s="51"/>
      <c r="G59" s="51"/>
      <c r="ER59" s="69"/>
      <c r="FI59" s="70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12.75" customHeight="1">
      <c r="A60" s="80" t="s">
        <v>320</v>
      </c>
      <c r="B60" s="80"/>
      <c r="C60" s="86">
        <v>114</v>
      </c>
      <c r="D60" s="82" t="s">
        <v>321</v>
      </c>
      <c r="E60" s="102">
        <v>0.084</v>
      </c>
      <c r="F60" s="51"/>
      <c r="G60" s="51"/>
      <c r="BO60" s="83">
        <f>1000*E60</f>
        <v>84</v>
      </c>
      <c r="ER60" s="69"/>
      <c r="FI60" s="70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68" ht="12.75" customHeight="1">
      <c r="A61" s="62" t="s">
        <v>320</v>
      </c>
      <c r="B61" s="62"/>
      <c r="C61" s="63">
        <v>114</v>
      </c>
      <c r="D61" s="64" t="s">
        <v>321</v>
      </c>
      <c r="E61" s="103">
        <v>0.056</v>
      </c>
      <c r="F61" s="77"/>
      <c r="G61" s="77"/>
      <c r="BO61" s="58">
        <f>1000*E61</f>
        <v>56</v>
      </c>
      <c r="BP61" s="3"/>
    </row>
    <row r="62" spans="1:172" ht="12.75" customHeight="1">
      <c r="A62" s="59" t="s">
        <v>322</v>
      </c>
      <c r="B62" s="59"/>
      <c r="C62" s="60">
        <v>972</v>
      </c>
      <c r="D62" s="61" t="s">
        <v>323</v>
      </c>
      <c r="E62" s="49">
        <f>5*1.2</f>
        <v>6</v>
      </c>
      <c r="F62" s="77"/>
      <c r="G62" s="77"/>
      <c r="BO62" s="3"/>
      <c r="BP62" s="3"/>
      <c r="FP62" s="52">
        <f>E62*1000</f>
        <v>6000</v>
      </c>
    </row>
    <row r="63" spans="1:172" ht="12.75" customHeight="1">
      <c r="A63" s="62" t="s">
        <v>322</v>
      </c>
      <c r="B63" s="62"/>
      <c r="C63" s="63">
        <v>972</v>
      </c>
      <c r="D63" s="64" t="s">
        <v>323</v>
      </c>
      <c r="E63" s="56">
        <f>5*0.8</f>
        <v>4</v>
      </c>
      <c r="F63" s="77"/>
      <c r="G63" s="77"/>
      <c r="BO63" s="3"/>
      <c r="BP63" s="3"/>
      <c r="FP63" s="58">
        <f>E63*1000</f>
        <v>4000</v>
      </c>
    </row>
    <row r="64" spans="1:165" s="3" customFormat="1" ht="12.75" customHeight="1">
      <c r="A64" s="80" t="s">
        <v>324</v>
      </c>
      <c r="B64" s="80"/>
      <c r="C64" s="86">
        <v>22</v>
      </c>
      <c r="D64" s="82" t="s">
        <v>325</v>
      </c>
      <c r="E64" s="87">
        <v>1.5</v>
      </c>
      <c r="F64" s="51"/>
      <c r="G64" s="51"/>
      <c r="BQ64" s="83">
        <f>0.37*E64*1000</f>
        <v>554.9999999999999</v>
      </c>
      <c r="ER64" s="69"/>
      <c r="FI64" s="70"/>
    </row>
    <row r="65" spans="1:69" ht="12.75" customHeight="1">
      <c r="A65" s="62" t="s">
        <v>324</v>
      </c>
      <c r="B65" s="62"/>
      <c r="C65" s="63">
        <v>22</v>
      </c>
      <c r="D65" s="64" t="s">
        <v>325</v>
      </c>
      <c r="E65" s="56">
        <v>1</v>
      </c>
      <c r="F65" s="77"/>
      <c r="G65" s="77"/>
      <c r="BQ65" s="58">
        <f>0.37*E65*1000</f>
        <v>370</v>
      </c>
    </row>
    <row r="66" spans="1:236" s="3" customFormat="1" ht="12.75" customHeight="1">
      <c r="A66" s="65" t="s">
        <v>326</v>
      </c>
      <c r="B66" s="65"/>
      <c r="C66" s="66">
        <v>804</v>
      </c>
      <c r="D66" s="67" t="s">
        <v>248</v>
      </c>
      <c r="E66" s="68">
        <v>1</v>
      </c>
      <c r="F66" s="51"/>
      <c r="G66" s="51"/>
      <c r="AH66" s="3">
        <f>320*E66</f>
        <v>320</v>
      </c>
      <c r="AT66" s="3">
        <f>100*E66</f>
        <v>100</v>
      </c>
      <c r="BA66" s="3">
        <f>1*E66</f>
        <v>1</v>
      </c>
      <c r="BE66" s="3">
        <f>285*E66</f>
        <v>285</v>
      </c>
      <c r="CP66" s="3">
        <f>0.048*AH66</f>
        <v>15.36</v>
      </c>
      <c r="ER66" s="69"/>
      <c r="FI66" s="70"/>
      <c r="IB66" s="3">
        <f>50*E66</f>
        <v>50</v>
      </c>
    </row>
    <row r="67" spans="1:237" s="3" customFormat="1" ht="12.75" customHeight="1">
      <c r="A67" s="65" t="s">
        <v>327</v>
      </c>
      <c r="B67" s="104"/>
      <c r="C67" s="66">
        <v>969</v>
      </c>
      <c r="D67" s="67" t="s">
        <v>248</v>
      </c>
      <c r="E67" s="68">
        <v>1</v>
      </c>
      <c r="F67" s="51"/>
      <c r="G67" s="51"/>
      <c r="AH67" s="3">
        <f>400*E67</f>
        <v>400</v>
      </c>
      <c r="AP67" s="3">
        <f>50*$E67</f>
        <v>50</v>
      </c>
      <c r="BP67" s="3">
        <f>14*E67</f>
        <v>14</v>
      </c>
      <c r="DE67" s="101">
        <f>80*E67</f>
        <v>80</v>
      </c>
      <c r="ER67" s="69"/>
      <c r="FI67" s="70"/>
      <c r="FN67" s="3">
        <f>20*E67</f>
        <v>20</v>
      </c>
      <c r="FS67" s="3">
        <f>50*E67</f>
        <v>50</v>
      </c>
      <c r="IC67" s="3">
        <f>100*$E67</f>
        <v>100</v>
      </c>
    </row>
    <row r="68" spans="1:256" s="3" customFormat="1" ht="12.75" customHeight="1">
      <c r="A68" s="65" t="s">
        <v>328</v>
      </c>
      <c r="B68" s="65"/>
      <c r="C68" s="66">
        <v>388</v>
      </c>
      <c r="D68" s="67" t="s">
        <v>329</v>
      </c>
      <c r="E68" s="68">
        <v>3</v>
      </c>
      <c r="F68" s="51"/>
      <c r="G68" s="51"/>
      <c r="ER68" s="69"/>
      <c r="FI68" s="70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2.75" customHeight="1">
      <c r="A69" s="59" t="s">
        <v>330</v>
      </c>
      <c r="B69" s="59"/>
      <c r="C69" s="60">
        <v>1297</v>
      </c>
      <c r="D69" s="61" t="s">
        <v>280</v>
      </c>
      <c r="E69" s="49">
        <v>3</v>
      </c>
      <c r="F69" s="51"/>
      <c r="G69" s="51"/>
      <c r="AY69" s="52">
        <f>112/2*E69</f>
        <v>168</v>
      </c>
      <c r="CQ69" s="52">
        <f>500/2*E69</f>
        <v>750</v>
      </c>
      <c r="ER69" s="69"/>
      <c r="FC69" s="52">
        <f>0.45*112/2*E69</f>
        <v>75.6</v>
      </c>
      <c r="FD69" s="52">
        <f>(400+100)/2*E69</f>
        <v>750</v>
      </c>
      <c r="FI69" s="70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2.75" customHeight="1">
      <c r="A70" s="62" t="s">
        <v>330</v>
      </c>
      <c r="B70" s="62"/>
      <c r="C70" s="63">
        <v>1297</v>
      </c>
      <c r="D70" s="64" t="s">
        <v>280</v>
      </c>
      <c r="E70" s="56">
        <v>2</v>
      </c>
      <c r="F70" s="51"/>
      <c r="G70" s="51"/>
      <c r="AY70" s="58">
        <f>112/2*E70</f>
        <v>112</v>
      </c>
      <c r="CQ70" s="58">
        <f>500/2*E70</f>
        <v>500</v>
      </c>
      <c r="ER70" s="69"/>
      <c r="FC70" s="58">
        <f>0.45*112/2*E70</f>
        <v>50.4</v>
      </c>
      <c r="FD70" s="58">
        <f>(400+100)/2*E70</f>
        <v>500</v>
      </c>
      <c r="FI70" s="70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21" ht="12.75" customHeight="1">
      <c r="A71" s="59" t="s">
        <v>331</v>
      </c>
      <c r="B71" s="59"/>
      <c r="C71" s="60">
        <v>484</v>
      </c>
      <c r="D71" s="61" t="s">
        <v>332</v>
      </c>
      <c r="E71" s="49">
        <v>2</v>
      </c>
      <c r="F71" s="77"/>
      <c r="G71" s="77"/>
      <c r="AD71" s="52">
        <f>0.5*200*E71</f>
        <v>200</v>
      </c>
      <c r="AJ71" s="52">
        <f>100*E71</f>
        <v>200</v>
      </c>
      <c r="BZ71"/>
      <c r="CA71"/>
      <c r="DB71" s="52">
        <f>0.35*200*E71</f>
        <v>140</v>
      </c>
      <c r="HM71" s="52">
        <f>1000*$E71</f>
        <v>2000</v>
      </c>
    </row>
    <row r="72" spans="1:221" ht="12.75" customHeight="1">
      <c r="A72" s="62" t="s">
        <v>333</v>
      </c>
      <c r="B72" s="62"/>
      <c r="C72" s="63">
        <v>484</v>
      </c>
      <c r="D72" s="58" t="s">
        <v>332</v>
      </c>
      <c r="E72" s="56">
        <v>1.5</v>
      </c>
      <c r="F72" s="77"/>
      <c r="G72" s="77"/>
      <c r="AD72" s="58">
        <f>0.5*200*E72</f>
        <v>150</v>
      </c>
      <c r="AJ72" s="58">
        <f>100*E72</f>
        <v>150</v>
      </c>
      <c r="BZ72"/>
      <c r="CA72"/>
      <c r="DB72" s="58">
        <f>0.35*200*E72</f>
        <v>105</v>
      </c>
      <c r="HM72" s="58">
        <f>1000*$E72</f>
        <v>1500</v>
      </c>
    </row>
    <row r="73" spans="1:221" ht="12.75" customHeight="1">
      <c r="A73" s="105" t="s">
        <v>334</v>
      </c>
      <c r="B73" s="65"/>
      <c r="C73" s="66">
        <v>718</v>
      </c>
      <c r="D73" s="67" t="s">
        <v>335</v>
      </c>
      <c r="E73" s="68">
        <v>1</v>
      </c>
      <c r="F73" s="77"/>
      <c r="G73" s="77"/>
      <c r="BV73" s="1">
        <f>240*$E73</f>
        <v>240</v>
      </c>
      <c r="BZ73"/>
      <c r="CA73"/>
      <c r="DB73" s="3"/>
      <c r="GK73" s="1">
        <f>100*$E73</f>
        <v>100</v>
      </c>
      <c r="HL73" s="1">
        <f>60*$E73</f>
        <v>60</v>
      </c>
      <c r="HM73" s="3"/>
    </row>
    <row r="74" spans="1:165" s="93" customFormat="1" ht="12.75" customHeight="1">
      <c r="A74" s="88" t="s">
        <v>336</v>
      </c>
      <c r="B74" s="88"/>
      <c r="C74" s="89">
        <v>148</v>
      </c>
      <c r="D74" s="90" t="s">
        <v>337</v>
      </c>
      <c r="E74" s="91">
        <f>0/(30*2)*1.2</f>
        <v>0</v>
      </c>
      <c r="F74" s="92"/>
      <c r="G74" s="92"/>
      <c r="CB74" s="93">
        <f>E74*1000000*0.0013</f>
        <v>0</v>
      </c>
      <c r="ER74" s="94"/>
      <c r="FI74" s="95"/>
    </row>
    <row r="75" spans="1:165" s="93" customFormat="1" ht="12.75" customHeight="1">
      <c r="A75" s="88" t="s">
        <v>336</v>
      </c>
      <c r="B75" s="88"/>
      <c r="C75" s="89">
        <v>148</v>
      </c>
      <c r="D75" s="90" t="s">
        <v>337</v>
      </c>
      <c r="E75" s="91">
        <f>0/(30*2)*0.8</f>
        <v>0</v>
      </c>
      <c r="F75" s="92"/>
      <c r="G75" s="92"/>
      <c r="CB75" s="93">
        <f>E75*1000000*0.0013</f>
        <v>0</v>
      </c>
      <c r="ER75" s="94"/>
      <c r="FI75" s="95"/>
    </row>
    <row r="76" spans="1:149" s="3" customFormat="1" ht="12.75" customHeight="1">
      <c r="A76" s="65" t="s">
        <v>338</v>
      </c>
      <c r="B76" s="65"/>
      <c r="C76" s="66">
        <v>300</v>
      </c>
      <c r="D76" s="67" t="s">
        <v>339</v>
      </c>
      <c r="E76" s="68">
        <v>4</v>
      </c>
      <c r="F76" s="51"/>
      <c r="G76" s="51"/>
      <c r="CB76" s="106"/>
      <c r="CC76" s="3">
        <f>10*$E76</f>
        <v>40</v>
      </c>
      <c r="ES76" s="69"/>
    </row>
    <row r="77" spans="1:165" s="93" customFormat="1" ht="12.75" customHeight="1">
      <c r="A77" s="88" t="s">
        <v>340</v>
      </c>
      <c r="B77" s="88" t="s">
        <v>341</v>
      </c>
      <c r="C77" s="89" t="s">
        <v>342</v>
      </c>
      <c r="D77" s="90"/>
      <c r="E77" s="91">
        <v>0</v>
      </c>
      <c r="F77" s="92"/>
      <c r="G77" s="92"/>
      <c r="CD77" s="93">
        <f>1120/2*E77</f>
        <v>0</v>
      </c>
      <c r="ER77" s="94"/>
      <c r="FI77" s="95"/>
    </row>
    <row r="78" spans="1:84" ht="12.75" customHeight="1">
      <c r="A78" s="80" t="s">
        <v>343</v>
      </c>
      <c r="B78" s="80"/>
      <c r="C78" s="86">
        <v>127</v>
      </c>
      <c r="D78" s="82" t="s">
        <v>325</v>
      </c>
      <c r="E78" s="87">
        <v>4.7</v>
      </c>
      <c r="F78" s="77"/>
      <c r="G78" s="77"/>
      <c r="CF78" s="83">
        <f>E78*1000</f>
        <v>4700</v>
      </c>
    </row>
    <row r="79" spans="1:84" ht="12.75" customHeight="1">
      <c r="A79" s="62" t="s">
        <v>343</v>
      </c>
      <c r="B79" s="62"/>
      <c r="C79" s="63">
        <v>127</v>
      </c>
      <c r="D79" s="64" t="s">
        <v>325</v>
      </c>
      <c r="E79" s="56">
        <v>3.2</v>
      </c>
      <c r="F79" s="77"/>
      <c r="G79" s="77"/>
      <c r="CF79" s="58">
        <f>E79*1000</f>
        <v>3200</v>
      </c>
    </row>
    <row r="80" spans="1:228" ht="12.75" customHeight="1">
      <c r="A80" s="65" t="s">
        <v>344</v>
      </c>
      <c r="B80" s="65"/>
      <c r="C80" s="66">
        <v>759</v>
      </c>
      <c r="D80" s="67" t="s">
        <v>345</v>
      </c>
      <c r="E80" s="68">
        <v>1</v>
      </c>
      <c r="F80" s="77"/>
      <c r="G80" s="77"/>
      <c r="GC80" s="1">
        <f>20*E80</f>
        <v>20</v>
      </c>
      <c r="HM80" s="3"/>
      <c r="HN80" s="3"/>
      <c r="HO80" s="3"/>
      <c r="HP80" s="3"/>
      <c r="HQ80" s="3">
        <f>36*$E80</f>
        <v>36</v>
      </c>
      <c r="HR80" s="3">
        <f>237*$E80</f>
        <v>237</v>
      </c>
      <c r="HS80" s="3">
        <f>79*$E80</f>
        <v>79</v>
      </c>
      <c r="HT80" s="3">
        <f>3.6*$E80</f>
        <v>3.6</v>
      </c>
    </row>
    <row r="81" spans="1:226" ht="12.75" customHeight="1">
      <c r="A81" s="65" t="s">
        <v>346</v>
      </c>
      <c r="B81" s="65"/>
      <c r="C81" s="66">
        <v>778</v>
      </c>
      <c r="D81" s="67" t="s">
        <v>347</v>
      </c>
      <c r="E81" s="68">
        <v>1</v>
      </c>
      <c r="F81" s="77"/>
      <c r="G81" s="77"/>
      <c r="CL81" s="3">
        <f>120*$E81</f>
        <v>120</v>
      </c>
      <c r="HM81" s="3"/>
      <c r="HN81" s="3"/>
      <c r="HO81" s="3"/>
      <c r="HP81" s="3"/>
      <c r="HQ81" s="3"/>
      <c r="HR81" s="3"/>
    </row>
    <row r="82" spans="1:226" ht="12.75" customHeight="1">
      <c r="A82" s="59" t="s">
        <v>348</v>
      </c>
      <c r="B82" s="59"/>
      <c r="C82" s="60">
        <v>512</v>
      </c>
      <c r="D82" s="61" t="s">
        <v>349</v>
      </c>
      <c r="E82" s="49">
        <v>3</v>
      </c>
      <c r="F82" s="77"/>
      <c r="G82" s="77"/>
      <c r="BB82" s="3">
        <f>24*$E82</f>
        <v>72</v>
      </c>
      <c r="HM82" s="3"/>
      <c r="HN82" s="3"/>
      <c r="HO82" s="3"/>
      <c r="HP82" s="3"/>
      <c r="HQ82" s="3"/>
      <c r="HR82" s="3"/>
    </row>
    <row r="83" spans="1:226" ht="12.75" customHeight="1">
      <c r="A83" s="62" t="s">
        <v>348</v>
      </c>
      <c r="B83" s="62"/>
      <c r="C83" s="63">
        <v>512</v>
      </c>
      <c r="D83" s="64" t="s">
        <v>349</v>
      </c>
      <c r="E83" s="56">
        <v>2</v>
      </c>
      <c r="F83" s="77"/>
      <c r="G83" s="77"/>
      <c r="BB83" s="3">
        <f>24*$E83</f>
        <v>48</v>
      </c>
      <c r="HM83" s="3"/>
      <c r="HN83" s="3"/>
      <c r="HO83" s="3"/>
      <c r="HP83" s="3"/>
      <c r="HQ83" s="3"/>
      <c r="HR83" s="3"/>
    </row>
    <row r="84" spans="1:226" ht="12.75" customHeight="1">
      <c r="A84" s="65" t="s">
        <v>350</v>
      </c>
      <c r="B84" s="65"/>
      <c r="C84" s="66">
        <v>393</v>
      </c>
      <c r="D84" s="67" t="s">
        <v>351</v>
      </c>
      <c r="E84" s="68" t="s">
        <v>352</v>
      </c>
      <c r="F84" s="77"/>
      <c r="G84" s="77"/>
      <c r="HM84" s="3"/>
      <c r="HN84" s="3"/>
      <c r="HO84" s="3"/>
      <c r="HP84" s="3"/>
      <c r="HQ84" s="3"/>
      <c r="HR84" s="3"/>
    </row>
    <row r="85" spans="1:165" s="3" customFormat="1" ht="12.75" customHeight="1">
      <c r="A85" s="59" t="s">
        <v>353</v>
      </c>
      <c r="B85" s="59"/>
      <c r="C85" s="60">
        <v>12751</v>
      </c>
      <c r="D85" s="61" t="s">
        <v>354</v>
      </c>
      <c r="E85" s="49">
        <v>3</v>
      </c>
      <c r="F85" s="51"/>
      <c r="G85" s="51"/>
      <c r="ER85" s="69"/>
      <c r="FI85" s="70"/>
    </row>
    <row r="86" spans="1:226" ht="12.75" customHeight="1">
      <c r="A86" s="59" t="s">
        <v>355</v>
      </c>
      <c r="B86" s="59"/>
      <c r="C86" s="60">
        <v>991</v>
      </c>
      <c r="D86" s="61" t="s">
        <v>248</v>
      </c>
      <c r="E86" s="49">
        <v>3</v>
      </c>
      <c r="F86" s="77"/>
      <c r="G86" s="77"/>
      <c r="AJ86" s="52">
        <f>20*$E86</f>
        <v>60</v>
      </c>
      <c r="AQ86" s="83">
        <f>0.3*100*E86</f>
        <v>90.00000000000001</v>
      </c>
      <c r="AR86" s="3"/>
      <c r="CH86" s="58"/>
      <c r="FH86" s="52">
        <f>0.95*100*E86</f>
        <v>285</v>
      </c>
      <c r="FN86" s="52">
        <f>25*E86</f>
        <v>75</v>
      </c>
      <c r="HM86" s="83">
        <f>100*$E86</f>
        <v>300</v>
      </c>
      <c r="HN86" s="3"/>
      <c r="HO86" s="3"/>
      <c r="HP86" s="3"/>
      <c r="HQ86" s="3"/>
      <c r="HR86" s="3"/>
    </row>
    <row r="87" spans="1:226" ht="12.75" customHeight="1">
      <c r="A87" s="62" t="s">
        <v>355</v>
      </c>
      <c r="B87" s="62"/>
      <c r="C87" s="63">
        <v>991</v>
      </c>
      <c r="D87" s="64" t="s">
        <v>248</v>
      </c>
      <c r="E87" s="56">
        <v>2</v>
      </c>
      <c r="F87" s="77"/>
      <c r="G87" s="77"/>
      <c r="AJ87" s="58">
        <f>20*$E87</f>
        <v>40</v>
      </c>
      <c r="AQ87" s="58">
        <f>0.3*100*E87</f>
        <v>60.00000000000001</v>
      </c>
      <c r="AR87" s="3"/>
      <c r="CH87" s="58"/>
      <c r="FH87" s="58">
        <f>0.95*100*E87</f>
        <v>190</v>
      </c>
      <c r="FN87" s="58">
        <f>25*E87</f>
        <v>50</v>
      </c>
      <c r="HM87" s="58">
        <f>100*$E87</f>
        <v>200</v>
      </c>
      <c r="HN87" s="3"/>
      <c r="HO87" s="3"/>
      <c r="HP87" s="3"/>
      <c r="HQ87" s="3"/>
      <c r="HR87" s="3"/>
    </row>
    <row r="88" spans="1:164" ht="12.75" customHeight="1">
      <c r="A88" s="59" t="s">
        <v>356</v>
      </c>
      <c r="B88" s="59"/>
      <c r="C88" s="60">
        <v>230</v>
      </c>
      <c r="D88" s="61" t="s">
        <v>357</v>
      </c>
      <c r="E88" s="49">
        <v>3</v>
      </c>
      <c r="F88" s="77"/>
      <c r="G88" s="77"/>
      <c r="AQ88" s="3"/>
      <c r="AR88" s="3"/>
      <c r="CH88" s="3"/>
      <c r="DA88" s="52">
        <f>0.5*500*$E88</f>
        <v>750</v>
      </c>
      <c r="FH88" s="3"/>
    </row>
    <row r="89" spans="1:164" ht="12.75" customHeight="1">
      <c r="A89" s="62" t="s">
        <v>356</v>
      </c>
      <c r="B89" s="62"/>
      <c r="C89" s="63">
        <v>230</v>
      </c>
      <c r="D89" s="64" t="s">
        <v>357</v>
      </c>
      <c r="E89" s="56">
        <v>2</v>
      </c>
      <c r="F89" s="77"/>
      <c r="G89" s="77"/>
      <c r="AQ89" s="3"/>
      <c r="AR89" s="3"/>
      <c r="CH89" s="3"/>
      <c r="DA89" s="58">
        <f>0.5*500*$E89</f>
        <v>500</v>
      </c>
      <c r="FH89" s="3"/>
    </row>
    <row r="90" spans="1:165" s="93" customFormat="1" ht="12.75" customHeight="1">
      <c r="A90" s="88" t="s">
        <v>358</v>
      </c>
      <c r="B90" s="88"/>
      <c r="C90" s="89">
        <v>656</v>
      </c>
      <c r="D90" s="90" t="s">
        <v>248</v>
      </c>
      <c r="E90" s="91">
        <v>0</v>
      </c>
      <c r="F90" s="92"/>
      <c r="G90" s="92"/>
      <c r="ER90" s="94"/>
      <c r="FF90" s="93">
        <f>900*$E90</f>
        <v>0</v>
      </c>
      <c r="FI90" s="95"/>
    </row>
    <row r="91" spans="1:165" s="3" customFormat="1" ht="12.75" customHeight="1">
      <c r="A91" s="59" t="s">
        <v>359</v>
      </c>
      <c r="B91" s="59"/>
      <c r="C91" s="60">
        <v>138</v>
      </c>
      <c r="D91" s="61" t="s">
        <v>300</v>
      </c>
      <c r="E91" s="49">
        <v>1.2</v>
      </c>
      <c r="F91" s="51"/>
      <c r="G91" s="51"/>
      <c r="DB91" s="52">
        <f>0.4*$E91*1000</f>
        <v>480</v>
      </c>
      <c r="ER91" s="69"/>
      <c r="FI91" s="70"/>
    </row>
    <row r="92" spans="1:165" s="3" customFormat="1" ht="12.75" customHeight="1">
      <c r="A92" s="62" t="s">
        <v>359</v>
      </c>
      <c r="B92" s="62"/>
      <c r="C92" s="63">
        <v>138</v>
      </c>
      <c r="D92" s="64" t="s">
        <v>300</v>
      </c>
      <c r="E92" s="56">
        <v>0.48</v>
      </c>
      <c r="F92" s="51"/>
      <c r="G92" s="51"/>
      <c r="DB92" s="58">
        <f>0.4*$E92*1000</f>
        <v>192</v>
      </c>
      <c r="ER92" s="69"/>
      <c r="FI92" s="70"/>
    </row>
    <row r="93" spans="1:221" s="3" customFormat="1" ht="12.75" customHeight="1">
      <c r="A93" s="65" t="s">
        <v>360</v>
      </c>
      <c r="B93" s="65"/>
      <c r="C93" s="66">
        <v>955</v>
      </c>
      <c r="D93" s="67" t="s">
        <v>335</v>
      </c>
      <c r="E93" s="68">
        <v>1</v>
      </c>
      <c r="F93" s="51"/>
      <c r="G93" s="51"/>
      <c r="N93" s="3">
        <f>25*$E93</f>
        <v>25</v>
      </c>
      <c r="AB93" s="3">
        <f>100*E93</f>
        <v>100</v>
      </c>
      <c r="ER93" s="69"/>
      <c r="FI93" s="70"/>
      <c r="HM93" s="3">
        <f>50*E93</f>
        <v>50</v>
      </c>
    </row>
    <row r="94" spans="1:165" s="93" customFormat="1" ht="12.75" customHeight="1">
      <c r="A94" s="88" t="s">
        <v>361</v>
      </c>
      <c r="B94" s="88"/>
      <c r="C94" s="89">
        <v>155</v>
      </c>
      <c r="D94" s="90" t="s">
        <v>268</v>
      </c>
      <c r="E94" s="91">
        <v>0</v>
      </c>
      <c r="F94" s="92"/>
      <c r="G94" s="92"/>
      <c r="DF94" s="93">
        <f>500*$E94</f>
        <v>0</v>
      </c>
      <c r="ER94" s="94"/>
      <c r="FI94" s="95"/>
    </row>
    <row r="95" spans="1:165" s="93" customFormat="1" ht="12.75" customHeight="1">
      <c r="A95" s="88" t="s">
        <v>362</v>
      </c>
      <c r="B95" s="88"/>
      <c r="C95" s="89">
        <v>108</v>
      </c>
      <c r="D95" s="90" t="s">
        <v>325</v>
      </c>
      <c r="E95" s="91">
        <v>0</v>
      </c>
      <c r="F95" s="92"/>
      <c r="G95" s="92"/>
      <c r="DG95" s="93">
        <f>E95*1000</f>
        <v>0</v>
      </c>
      <c r="ER95" s="94"/>
      <c r="FI95" s="95"/>
    </row>
    <row r="96" spans="1:165" s="93" customFormat="1" ht="12.75" customHeight="1">
      <c r="A96" s="88" t="s">
        <v>362</v>
      </c>
      <c r="B96" s="88"/>
      <c r="C96" s="89">
        <v>108</v>
      </c>
      <c r="D96" s="90" t="s">
        <v>325</v>
      </c>
      <c r="E96" s="91">
        <v>0</v>
      </c>
      <c r="F96" s="92"/>
      <c r="G96" s="92"/>
      <c r="DG96" s="93">
        <f>E96*1000</f>
        <v>0</v>
      </c>
      <c r="ER96" s="94"/>
      <c r="FI96" s="95"/>
    </row>
    <row r="97" spans="1:115" ht="12.75" customHeight="1">
      <c r="A97" s="80" t="s">
        <v>363</v>
      </c>
      <c r="B97" s="80"/>
      <c r="C97" s="86">
        <v>563</v>
      </c>
      <c r="D97" s="82" t="s">
        <v>364</v>
      </c>
      <c r="E97" s="49">
        <v>0</v>
      </c>
      <c r="F97" s="77"/>
      <c r="G97" s="77"/>
      <c r="DK97" s="83">
        <f>15*E97</f>
        <v>0</v>
      </c>
    </row>
    <row r="98" spans="1:115" ht="12.75" customHeight="1">
      <c r="A98" s="62" t="s">
        <v>363</v>
      </c>
      <c r="B98" s="62"/>
      <c r="C98" s="63">
        <v>563</v>
      </c>
      <c r="D98" s="64" t="s">
        <v>364</v>
      </c>
      <c r="E98" s="107">
        <f>1/3</f>
        <v>0.3333333333333333</v>
      </c>
      <c r="F98" s="77"/>
      <c r="G98" s="77"/>
      <c r="DK98" s="58">
        <f>15*E98</f>
        <v>5</v>
      </c>
    </row>
    <row r="99" spans="1:165" s="3" customFormat="1" ht="12.75" customHeight="1">
      <c r="A99" s="65" t="s">
        <v>365</v>
      </c>
      <c r="B99" s="65"/>
      <c r="C99" s="66">
        <v>56</v>
      </c>
      <c r="D99" s="67" t="s">
        <v>248</v>
      </c>
      <c r="E99" s="108">
        <v>1</v>
      </c>
      <c r="F99" s="51"/>
      <c r="G99" s="51"/>
      <c r="ER99" s="69"/>
      <c r="FI99" s="70"/>
    </row>
    <row r="100" spans="1:165" s="3" customFormat="1" ht="12.75" customHeight="1">
      <c r="A100" s="65" t="s">
        <v>366</v>
      </c>
      <c r="B100" s="65"/>
      <c r="C100" s="66">
        <v>316</v>
      </c>
      <c r="D100" s="67" t="s">
        <v>367</v>
      </c>
      <c r="E100" s="68">
        <v>1</v>
      </c>
      <c r="F100" s="51"/>
      <c r="G100" s="51"/>
      <c r="M100" s="3">
        <f>60/2*$E100</f>
        <v>30</v>
      </c>
      <c r="CE100" s="109" t="s">
        <v>368</v>
      </c>
      <c r="CI100" s="3">
        <f>700*$E100/2</f>
        <v>350</v>
      </c>
      <c r="ER100" s="69"/>
      <c r="FI100" s="70"/>
    </row>
    <row r="101" spans="1:165" s="3" customFormat="1" ht="12.75" customHeight="1">
      <c r="A101" s="65" t="s">
        <v>369</v>
      </c>
      <c r="B101" s="65"/>
      <c r="C101" s="66">
        <v>789</v>
      </c>
      <c r="D101" s="67" t="s">
        <v>252</v>
      </c>
      <c r="E101" s="68">
        <v>2</v>
      </c>
      <c r="F101" s="51"/>
      <c r="G101" s="51"/>
      <c r="CE101" s="109" t="s">
        <v>370</v>
      </c>
      <c r="CI101" s="3">
        <f>600*E101</f>
        <v>1200</v>
      </c>
      <c r="ER101" s="69"/>
      <c r="FI101" s="70"/>
    </row>
    <row r="102" spans="1:165" s="3" customFormat="1" ht="12.75" customHeight="1">
      <c r="A102" s="65" t="s">
        <v>371</v>
      </c>
      <c r="B102" s="65"/>
      <c r="C102" s="66">
        <v>513</v>
      </c>
      <c r="D102" s="67" t="s">
        <v>248</v>
      </c>
      <c r="E102" s="68">
        <v>1</v>
      </c>
      <c r="F102" s="51"/>
      <c r="G102" s="51"/>
      <c r="Q102" s="3">
        <f>300*$E102</f>
        <v>300</v>
      </c>
      <c r="CE102" s="109" t="s">
        <v>372</v>
      </c>
      <c r="ER102" s="69"/>
      <c r="FI102" s="70"/>
    </row>
    <row r="103" spans="1:87" ht="12.75" customHeight="1">
      <c r="A103" s="80" t="s">
        <v>373</v>
      </c>
      <c r="B103" s="80"/>
      <c r="C103" s="86">
        <v>40</v>
      </c>
      <c r="D103" s="82" t="s">
        <v>374</v>
      </c>
      <c r="E103" s="87">
        <f>1.2*2+1.5</f>
        <v>3.9</v>
      </c>
      <c r="F103" s="77"/>
      <c r="G103" s="77"/>
      <c r="N103" s="3"/>
      <c r="R103" s="83">
        <f>E103*1000*0.83</f>
        <v>3237.0000000000005</v>
      </c>
      <c r="BT103" s="3"/>
      <c r="BU103" s="3"/>
      <c r="BV103" s="3"/>
      <c r="BW103" s="3"/>
      <c r="BX103" s="3"/>
      <c r="BY103" s="3"/>
      <c r="BZ103" s="3"/>
      <c r="CA103" s="3"/>
      <c r="CB103" s="3"/>
      <c r="CD103" s="3"/>
      <c r="CE103" s="109"/>
      <c r="CF103" s="3"/>
      <c r="CH103" s="3"/>
      <c r="CI103" s="3"/>
    </row>
    <row r="104" spans="1:87" ht="12.75" customHeight="1">
      <c r="A104" s="62" t="s">
        <v>373</v>
      </c>
      <c r="B104" s="62"/>
      <c r="C104" s="63">
        <v>40</v>
      </c>
      <c r="D104" s="64" t="s">
        <v>374</v>
      </c>
      <c r="E104" s="56">
        <f>0.8*2+1</f>
        <v>2.6</v>
      </c>
      <c r="F104" s="77"/>
      <c r="G104" s="77"/>
      <c r="N104" s="3"/>
      <c r="R104" s="58">
        <f>E104*1000*0.83</f>
        <v>2158</v>
      </c>
      <c r="BT104" s="3"/>
      <c r="BU104" s="3"/>
      <c r="BV104" s="3"/>
      <c r="BW104" s="3"/>
      <c r="BX104" s="3"/>
      <c r="BY104" s="3"/>
      <c r="BZ104" s="3"/>
      <c r="CA104" s="3"/>
      <c r="CB104" s="3"/>
      <c r="CD104" s="3"/>
      <c r="CE104" s="3"/>
      <c r="CF104" s="3"/>
      <c r="CH104" s="3"/>
      <c r="CI104" s="3"/>
    </row>
    <row r="105" spans="1:225" ht="12.75" customHeight="1">
      <c r="A105" s="80" t="s">
        <v>375</v>
      </c>
      <c r="B105" s="80"/>
      <c r="C105" s="86">
        <v>298</v>
      </c>
      <c r="D105" s="82" t="s">
        <v>376</v>
      </c>
      <c r="E105" s="87">
        <f>4.5*1.2</f>
        <v>5.3999999999999995</v>
      </c>
      <c r="F105" s="77"/>
      <c r="G105" s="77"/>
      <c r="N105" s="3"/>
      <c r="O105" s="83">
        <f>30*0.25/8970*E105*1000</f>
        <v>4.5150501672240795</v>
      </c>
      <c r="P105" s="3"/>
      <c r="AQ105" s="83">
        <f>0.6*285/8970*$E105*1000</f>
        <v>102.94314381270904</v>
      </c>
      <c r="BT105" s="3"/>
      <c r="BU105" s="83">
        <f>100/9*E105</f>
        <v>59.99999999999999</v>
      </c>
      <c r="BV105" s="3"/>
      <c r="BW105" s="3"/>
      <c r="BX105" s="83">
        <f>0.35*285/8970*$E105*1000</f>
        <v>60.05016722408027</v>
      </c>
      <c r="BY105" s="3"/>
      <c r="BZ105" s="3"/>
      <c r="CA105" s="3"/>
      <c r="CB105" s="3"/>
      <c r="CD105" s="3"/>
      <c r="CE105" s="3"/>
      <c r="CF105" s="3"/>
      <c r="CH105" s="3"/>
      <c r="CI105" s="3"/>
      <c r="CL105" s="98">
        <f>120/9*E105</f>
        <v>72</v>
      </c>
      <c r="CN105"/>
      <c r="EU105" s="98">
        <f>1000/8970*$E105*1000*0.22</f>
        <v>132.44147157190633</v>
      </c>
      <c r="FH105" s="98">
        <f>(50*0.65+50*0.95)/8970*$E105*1000</f>
        <v>48.160535117056845</v>
      </c>
      <c r="GG105" s="98">
        <f>100*0.85/8970*$E105*1000</f>
        <v>51.170568561872905</v>
      </c>
      <c r="HQ105" s="83">
        <f>150/8970*E105*1000</f>
        <v>90.30100334448159</v>
      </c>
    </row>
    <row r="106" spans="1:225" ht="12.75" customHeight="1">
      <c r="A106" s="62" t="s">
        <v>375</v>
      </c>
      <c r="B106" s="62"/>
      <c r="C106" s="63">
        <v>298</v>
      </c>
      <c r="D106" s="64" t="s">
        <v>376</v>
      </c>
      <c r="E106" s="56">
        <f>4.5*0.8</f>
        <v>3.6</v>
      </c>
      <c r="F106" s="77"/>
      <c r="G106" s="77"/>
      <c r="N106" s="3"/>
      <c r="O106" s="58">
        <f>30*0.25/8970*E106*1000</f>
        <v>3.0100334448160533</v>
      </c>
      <c r="P106" s="3"/>
      <c r="AQ106" s="58">
        <f>0.6*285/8970*$E106*1000</f>
        <v>68.62876254180603</v>
      </c>
      <c r="AR106" s="3"/>
      <c r="BT106" s="3"/>
      <c r="BU106" s="58">
        <f>100/9*E106</f>
        <v>40</v>
      </c>
      <c r="BV106" s="3"/>
      <c r="BW106" s="3"/>
      <c r="BX106" s="58">
        <f>0.35*285/8970*$E106*1000</f>
        <v>40.03344481605352</v>
      </c>
      <c r="BY106" s="3"/>
      <c r="BZ106" s="3"/>
      <c r="CA106" s="3"/>
      <c r="CB106" s="3"/>
      <c r="CD106" s="3"/>
      <c r="CE106" s="3"/>
      <c r="CF106" s="3"/>
      <c r="CH106" s="3"/>
      <c r="CI106" s="3"/>
      <c r="CL106" s="99">
        <f>120/9*E106</f>
        <v>48</v>
      </c>
      <c r="CN106"/>
      <c r="EU106" s="99">
        <f>1000/8970*$E106*1000*0.22</f>
        <v>88.29431438127091</v>
      </c>
      <c r="FH106" s="99">
        <f>(50*0.65+50*0.95)/8970*$E106*1000</f>
        <v>32.107023411371244</v>
      </c>
      <c r="GG106" s="99">
        <f>100*0.85/8970*$E106*1000</f>
        <v>34.11371237458194</v>
      </c>
      <c r="HQ106" s="58">
        <f>150/8970*E106*1000</f>
        <v>60.20066889632107</v>
      </c>
    </row>
    <row r="107" spans="1:213" ht="12.75" customHeight="1">
      <c r="A107" s="80" t="s">
        <v>377</v>
      </c>
      <c r="B107" s="80"/>
      <c r="C107" s="86">
        <v>19</v>
      </c>
      <c r="D107" s="82" t="s">
        <v>378</v>
      </c>
      <c r="E107" s="87">
        <f>3/5*50/4</f>
        <v>7.5</v>
      </c>
      <c r="F107" s="77"/>
      <c r="G107" s="77"/>
      <c r="N107" s="3"/>
      <c r="AA107" s="3"/>
      <c r="AB107" s="3"/>
      <c r="AC107" s="83">
        <f>2.2/10*$E107</f>
        <v>1.6500000000000001</v>
      </c>
      <c r="AD107" s="3"/>
      <c r="AE107" s="3"/>
      <c r="AJ107" s="52">
        <f>72/10*$E107</f>
        <v>54</v>
      </c>
      <c r="AU107" s="52">
        <f>1000*0.26*0.135*$E107</f>
        <v>263.25</v>
      </c>
      <c r="BT107" s="3"/>
      <c r="BU107" s="3"/>
      <c r="BV107" s="3"/>
      <c r="BW107" s="3"/>
      <c r="BX107" s="3"/>
      <c r="BY107" s="3"/>
      <c r="BZ107" s="3"/>
      <c r="CA107" s="3"/>
      <c r="CB107" s="3"/>
      <c r="CD107" s="3"/>
      <c r="CE107" s="3"/>
      <c r="CF107" s="3"/>
      <c r="CH107" s="3"/>
      <c r="CI107" s="3"/>
      <c r="EU107" s="83">
        <f>2600/10*$E107</f>
        <v>1950</v>
      </c>
      <c r="EV107" s="83">
        <f>2000/10*$E107</f>
        <v>1500</v>
      </c>
      <c r="EW107" s="83">
        <f>1400/10*$E107</f>
        <v>1050</v>
      </c>
      <c r="EY107" s="83">
        <f>315/10*$E107</f>
        <v>236.25</v>
      </c>
      <c r="EZ107" s="3"/>
      <c r="FA107" s="3"/>
      <c r="FE107" s="98">
        <f>118/10*$E107</f>
        <v>88.5</v>
      </c>
      <c r="HE107" s="83">
        <f>149/10*E107</f>
        <v>111.75</v>
      </c>
    </row>
    <row r="108" spans="1:213" ht="12.75" customHeight="1">
      <c r="A108" s="62" t="s">
        <v>377</v>
      </c>
      <c r="B108" s="62"/>
      <c r="C108" s="63">
        <v>19</v>
      </c>
      <c r="D108" s="64" t="s">
        <v>378</v>
      </c>
      <c r="E108" s="56">
        <f>2/5*50/4</f>
        <v>5</v>
      </c>
      <c r="F108" s="77"/>
      <c r="G108" s="77"/>
      <c r="N108" s="3"/>
      <c r="AA108" s="3"/>
      <c r="AB108" s="3"/>
      <c r="AC108" s="58">
        <f>2.2/10*$E108</f>
        <v>1.1</v>
      </c>
      <c r="AD108" s="3"/>
      <c r="AE108" s="3"/>
      <c r="AJ108" s="58">
        <f>72/10*$E108</f>
        <v>36</v>
      </c>
      <c r="AU108" s="58">
        <f>1000*0.26*0.135*$E108</f>
        <v>175.5</v>
      </c>
      <c r="BT108" s="3"/>
      <c r="BU108" s="3"/>
      <c r="BV108" s="3"/>
      <c r="BW108" s="3"/>
      <c r="BX108" s="3"/>
      <c r="BY108" s="3"/>
      <c r="BZ108" s="3"/>
      <c r="CA108" s="3"/>
      <c r="CB108" s="3"/>
      <c r="CD108" s="3"/>
      <c r="CE108" s="3"/>
      <c r="CF108" s="3"/>
      <c r="CH108" s="3"/>
      <c r="CI108" s="3"/>
      <c r="EU108" s="58">
        <f>2600/10*$E108</f>
        <v>1300</v>
      </c>
      <c r="EV108" s="58">
        <f>2000/10*$E108</f>
        <v>1000</v>
      </c>
      <c r="EW108" s="58">
        <f>1400/10*$E108</f>
        <v>700</v>
      </c>
      <c r="EY108" s="99">
        <f>315/10*$E108</f>
        <v>157.5</v>
      </c>
      <c r="EZ108" s="110"/>
      <c r="FA108" s="110"/>
      <c r="FE108" s="99">
        <f>118/10*$E108</f>
        <v>59</v>
      </c>
      <c r="HE108" s="58">
        <f>149/10*E108</f>
        <v>74.5</v>
      </c>
    </row>
    <row r="109" spans="1:165" s="93" customFormat="1" ht="12.75" customHeight="1">
      <c r="A109" s="88" t="s">
        <v>379</v>
      </c>
      <c r="B109" s="88"/>
      <c r="C109" s="89">
        <v>141</v>
      </c>
      <c r="D109" s="90" t="s">
        <v>325</v>
      </c>
      <c r="E109" s="91">
        <v>0</v>
      </c>
      <c r="F109" s="92"/>
      <c r="G109" s="92"/>
      <c r="CU109" s="93">
        <f>E109*1000</f>
        <v>0</v>
      </c>
      <c r="ER109" s="94"/>
      <c r="FI109" s="95"/>
    </row>
    <row r="110" spans="1:165" s="93" customFormat="1" ht="12.75" customHeight="1">
      <c r="A110" s="88" t="s">
        <v>379</v>
      </c>
      <c r="B110" s="88"/>
      <c r="C110" s="89">
        <v>141</v>
      </c>
      <c r="D110" s="90" t="s">
        <v>325</v>
      </c>
      <c r="E110" s="91">
        <v>0</v>
      </c>
      <c r="F110" s="92"/>
      <c r="G110" s="92"/>
      <c r="CU110" s="93">
        <f>E110*1000</f>
        <v>0</v>
      </c>
      <c r="ER110" s="94"/>
      <c r="FI110" s="95"/>
    </row>
    <row r="111" spans="1:165" s="3" customFormat="1" ht="12.75" customHeight="1">
      <c r="A111" s="65" t="s">
        <v>380</v>
      </c>
      <c r="B111" s="65"/>
      <c r="C111" s="66">
        <v>861</v>
      </c>
      <c r="D111" s="67" t="s">
        <v>319</v>
      </c>
      <c r="E111" s="68">
        <v>1</v>
      </c>
      <c r="F111" s="51"/>
      <c r="G111" s="51"/>
      <c r="EJ111" s="3">
        <f>111*E111</f>
        <v>111</v>
      </c>
      <c r="ER111" s="69"/>
      <c r="FI111" s="70"/>
    </row>
    <row r="112" spans="1:256" ht="12.75" customHeight="1">
      <c r="A112" s="80" t="s">
        <v>381</v>
      </c>
      <c r="B112" s="80"/>
      <c r="C112" s="86">
        <v>1237</v>
      </c>
      <c r="D112" s="82" t="s">
        <v>382</v>
      </c>
      <c r="E112" s="49">
        <v>6</v>
      </c>
      <c r="F112" s="77"/>
      <c r="G112" s="77"/>
      <c r="H112" s="83">
        <f>300/9*E112</f>
        <v>200</v>
      </c>
      <c r="I112" s="3"/>
      <c r="J112" s="3"/>
      <c r="K112" s="3"/>
      <c r="L112" s="98">
        <f>100/9*$E112</f>
        <v>66.66666666666666</v>
      </c>
      <c r="M112" s="110"/>
      <c r="N112" s="110"/>
      <c r="O112" s="98">
        <f>0.25*30/9*E112</f>
        <v>5</v>
      </c>
      <c r="P112" s="98">
        <f>7.35/9*E112</f>
        <v>4.9</v>
      </c>
      <c r="AA112" s="98">
        <f>2700/9*E112</f>
        <v>1800</v>
      </c>
      <c r="AB112" s="110"/>
      <c r="AC112" s="3"/>
      <c r="AD112" s="3"/>
      <c r="AE112" s="98">
        <f>3000*$E112/9</f>
        <v>2000</v>
      </c>
      <c r="AF112" s="97"/>
      <c r="AG112" s="98">
        <f>3/9*E112</f>
        <v>2</v>
      </c>
      <c r="AH112" s="98">
        <f>(525-25)/9*E112</f>
        <v>333.33333333333337</v>
      </c>
      <c r="AI112" s="83">
        <f>15/9*E112</f>
        <v>10</v>
      </c>
      <c r="AJ112" s="111">
        <f>(200+25)*$E112/9</f>
        <v>150</v>
      </c>
      <c r="AK112" s="110"/>
      <c r="AL112" s="3"/>
      <c r="AM112" s="3"/>
      <c r="AO112" s="110"/>
      <c r="AP112" s="3"/>
      <c r="AQ112" s="83">
        <f>0.59*325/9*$E112</f>
        <v>127.83333333333334</v>
      </c>
      <c r="AR112" s="3"/>
      <c r="AU112" s="98">
        <f>120*$E112/9</f>
        <v>80</v>
      </c>
      <c r="AV112" s="98">
        <f>500*$E112/9</f>
        <v>333.3333333333333</v>
      </c>
      <c r="AW112" s="110"/>
      <c r="AX112" s="110"/>
      <c r="AY112" s="111">
        <f>67/9*E112</f>
        <v>44.66666666666667</v>
      </c>
      <c r="AZ112" s="3"/>
      <c r="BA112" s="98">
        <f>1*$E112/9</f>
        <v>0.6666666666666666</v>
      </c>
      <c r="BE112" s="97"/>
      <c r="BG112" s="98">
        <f>600*$E112/9</f>
        <v>400</v>
      </c>
      <c r="BO112" s="98">
        <f>0*$E112/9</f>
        <v>0</v>
      </c>
      <c r="BP112" s="110"/>
      <c r="BT112" s="110"/>
      <c r="BU112" s="110"/>
      <c r="BV112" s="110"/>
      <c r="BW112" s="3"/>
      <c r="BX112" s="83">
        <f>0.45*325/9*$E112</f>
        <v>97.5</v>
      </c>
      <c r="BY112" s="3"/>
      <c r="BZ112" s="83">
        <f>0.14*200/9*E112</f>
        <v>18.66666666666667</v>
      </c>
      <c r="CA112" s="83">
        <f>0.01*200/9*E112</f>
        <v>1.3333333333333333</v>
      </c>
      <c r="CB112" s="98">
        <f>800*$E112/9</f>
        <v>533.3333333333334</v>
      </c>
      <c r="CC112" s="110"/>
      <c r="CD112" s="110"/>
      <c r="CE112" s="98">
        <f>200/9*$E112</f>
        <v>133.33333333333331</v>
      </c>
      <c r="CF112" s="110"/>
      <c r="CG112" s="110"/>
      <c r="CH112" s="83">
        <f>(0.75*25)/9*E112</f>
        <v>12.5</v>
      </c>
      <c r="CI112" s="3"/>
      <c r="CK112" s="98">
        <f>200*$E112/9</f>
        <v>133.33333333333334</v>
      </c>
      <c r="CM112" s="3"/>
      <c r="CP112" s="98">
        <f>408/448*200*$E112/9</f>
        <v>121.42857142857143</v>
      </c>
      <c r="CQ112" s="110"/>
      <c r="DB112" s="83">
        <f>70/9*E112</f>
        <v>46.666666666666664</v>
      </c>
      <c r="DG112" s="98">
        <f>250*$E112/9</f>
        <v>166.66666666666666</v>
      </c>
      <c r="DH112" s="110"/>
      <c r="DI112" s="98">
        <f>75*$E112/9</f>
        <v>50</v>
      </c>
      <c r="DJ112" s="110"/>
      <c r="DK112" s="110"/>
      <c r="DL112" s="110"/>
      <c r="DM112" s="110"/>
      <c r="DN112" s="110"/>
      <c r="DO112" s="110"/>
      <c r="DP112" s="110"/>
      <c r="DQ112" s="3"/>
      <c r="DR112" s="3"/>
      <c r="DS112" s="3"/>
      <c r="DT112" s="98">
        <f>15/9*E112</f>
        <v>10</v>
      </c>
      <c r="DU112" s="112">
        <f>8/9*E112</f>
        <v>5.333333333333333</v>
      </c>
      <c r="DV112" s="98">
        <f>3*$E112/9</f>
        <v>2</v>
      </c>
      <c r="DW112" s="110"/>
      <c r="DX112" s="98">
        <f>(335.96+35.28+11.74+7.83+5.87+3.4)/9*$E112</f>
        <v>266.72</v>
      </c>
      <c r="DY112" s="98">
        <f>1*$E112/9</f>
        <v>0.6666666666666666</v>
      </c>
      <c r="DZ112" s="110"/>
      <c r="EB112" s="110"/>
      <c r="EC112" s="110"/>
      <c r="ED112" s="98">
        <f>125*$E112/9</f>
        <v>83.33333333333333</v>
      </c>
      <c r="EE112" s="110"/>
      <c r="EF112" s="3"/>
      <c r="EG112" s="3"/>
      <c r="EH112" s="3"/>
      <c r="EI112" s="3"/>
      <c r="EJ112" s="3"/>
      <c r="EK112" s="83">
        <f>12.5/4*$E112</f>
        <v>18.75</v>
      </c>
      <c r="EP112" s="98">
        <f>0*$E112/9</f>
        <v>0</v>
      </c>
      <c r="EQ112" s="110"/>
      <c r="ER112" s="69"/>
      <c r="ES112" s="110"/>
      <c r="ET112" s="110"/>
      <c r="EU112" s="98">
        <f>150*$E112/9</f>
        <v>100</v>
      </c>
      <c r="EV112" s="97"/>
      <c r="EW112" s="97"/>
      <c r="EX112" s="97"/>
      <c r="EY112" s="97"/>
      <c r="EZ112" s="97"/>
      <c r="FA112" s="97"/>
      <c r="FB112" s="97"/>
      <c r="FC112" s="98">
        <f>(0.98*325+0.5*12.5+0.75*25+0.45*67)/9*E112</f>
        <v>249.1</v>
      </c>
      <c r="FD112" s="111">
        <f>85/9*$E112</f>
        <v>56.66666666666667</v>
      </c>
      <c r="FE112" s="98">
        <f>37.4*$E112/9</f>
        <v>24.93333333333333</v>
      </c>
      <c r="FF112" s="97"/>
      <c r="FG112" s="97"/>
      <c r="FH112" s="98">
        <f>(0.95*25+(0.95-0.75)*25)/9*E112</f>
        <v>19.166666666666668</v>
      </c>
      <c r="FJ112" s="110"/>
      <c r="FY112" s="98">
        <f>100*$E112/9</f>
        <v>66.66666666666667</v>
      </c>
      <c r="FZ112" s="98">
        <f>0.25*200*$E112/9</f>
        <v>33.333333333333336</v>
      </c>
      <c r="GA112" s="98">
        <f>0.25*200*$E112/9</f>
        <v>33.333333333333336</v>
      </c>
      <c r="GB112" s="97"/>
      <c r="GC112" s="98">
        <f>10/9*$E112</f>
        <v>6.666666666666667</v>
      </c>
      <c r="GD112" s="97"/>
      <c r="GE112" s="97"/>
      <c r="GF112" s="97"/>
      <c r="GG112" s="98">
        <f>0.85*100/9*$E112</f>
        <v>56.66666666666667</v>
      </c>
      <c r="GH112" s="3"/>
      <c r="GI112" s="97"/>
      <c r="GJ112" s="97"/>
      <c r="GK112" s="97"/>
      <c r="GL112" s="97"/>
      <c r="GM112" s="98">
        <f>200*$E112/9</f>
        <v>133.33333333333334</v>
      </c>
      <c r="GN112" s="110"/>
      <c r="GO112" s="98">
        <f>0*$E112/9</f>
        <v>0</v>
      </c>
      <c r="GP112" s="110"/>
      <c r="GQ112" s="110"/>
      <c r="GR112" s="98">
        <f>100*$E112/9</f>
        <v>66.66666666666667</v>
      </c>
      <c r="GS112" s="97"/>
      <c r="GX112" s="98">
        <f>2300/9*E112</f>
        <v>1533.3333333333333</v>
      </c>
      <c r="GZ112" s="98">
        <f>125*$E112/9</f>
        <v>83.33333333333333</v>
      </c>
      <c r="HA112" s="98">
        <f>50*$E112/9</f>
        <v>33.333333333333336</v>
      </c>
      <c r="HB112" s="98">
        <f>0.4*862*$E112/9</f>
        <v>229.86666666666667</v>
      </c>
      <c r="HC112" s="98">
        <f>(0.58+0.02)*862*$E112/9</f>
        <v>344.79999999999995</v>
      </c>
      <c r="HD112" s="98">
        <f>5*$E112/9</f>
        <v>3.3333333333333335</v>
      </c>
      <c r="HE112" s="98">
        <f>600*$E112/9</f>
        <v>400</v>
      </c>
      <c r="HF112" s="98">
        <f>2.5*$E112/9</f>
        <v>1.6666666666666667</v>
      </c>
      <c r="HG112" s="110"/>
      <c r="HH112" s="98">
        <f>100*$E112/9</f>
        <v>66.66666666666667</v>
      </c>
      <c r="HI112" s="98">
        <f>250*$E112/9</f>
        <v>166.66666666666666</v>
      </c>
      <c r="HJ112" s="98">
        <f>250*$E112/9</f>
        <v>166.66666666666666</v>
      </c>
      <c r="HK112" s="97"/>
      <c r="HL112" s="98">
        <f>100*$E112/9</f>
        <v>66.66666666666667</v>
      </c>
      <c r="HM112" s="98">
        <f>2000*$E112/9</f>
        <v>1333.3333333333333</v>
      </c>
      <c r="HN112" s="98">
        <f>250/9*E112</f>
        <v>166.66666666666669</v>
      </c>
      <c r="HO112" s="98">
        <f>800*$E112/9</f>
        <v>533.3333333333334</v>
      </c>
      <c r="HP112" s="98">
        <f>400*$E112/9</f>
        <v>266.6666666666667</v>
      </c>
      <c r="HQ112" s="97"/>
      <c r="IH112" s="98">
        <f>465/9*E112</f>
        <v>310</v>
      </c>
      <c r="II112" s="98">
        <f>(20+15)*$E112/9</f>
        <v>23.333333333333332</v>
      </c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 customHeight="1">
      <c r="A113" s="62" t="s">
        <v>381</v>
      </c>
      <c r="B113" s="62"/>
      <c r="C113" s="63">
        <v>1237</v>
      </c>
      <c r="D113" s="64" t="s">
        <v>382</v>
      </c>
      <c r="E113" s="56">
        <v>4</v>
      </c>
      <c r="F113" s="77"/>
      <c r="G113" s="77"/>
      <c r="H113" s="58">
        <f>300/9*E113</f>
        <v>133.33333333333334</v>
      </c>
      <c r="I113" s="3"/>
      <c r="J113" s="3"/>
      <c r="K113" s="3"/>
      <c r="L113" s="99">
        <f>100/9*$E113</f>
        <v>44.44444444444444</v>
      </c>
      <c r="M113" s="110"/>
      <c r="N113" s="110"/>
      <c r="O113" s="58">
        <f>0.25*30/9*E113</f>
        <v>3.3333333333333335</v>
      </c>
      <c r="P113" s="58">
        <f>7.35/9*E113</f>
        <v>3.2666666666666666</v>
      </c>
      <c r="AA113" s="99">
        <f>2700/9*E113</f>
        <v>1200</v>
      </c>
      <c r="AB113" s="110"/>
      <c r="AC113" s="3"/>
      <c r="AD113" s="3"/>
      <c r="AE113" s="99">
        <f>3000*$E113/9</f>
        <v>1333.3333333333333</v>
      </c>
      <c r="AF113" s="97"/>
      <c r="AG113" s="99">
        <f>3/9*E113</f>
        <v>1.3333333333333333</v>
      </c>
      <c r="AH113" s="99">
        <f>(525-25)/9*E113</f>
        <v>222.22222222222223</v>
      </c>
      <c r="AI113" s="58">
        <f>15/9*E113</f>
        <v>6.666666666666667</v>
      </c>
      <c r="AJ113" s="99">
        <f>218*$E113/9</f>
        <v>96.88888888888889</v>
      </c>
      <c r="AK113" s="110"/>
      <c r="AL113" s="3"/>
      <c r="AM113" s="3"/>
      <c r="AO113" s="110"/>
      <c r="AP113" s="3"/>
      <c r="AQ113" s="58">
        <f>0.59*325/9*$E113</f>
        <v>85.22222222222223</v>
      </c>
      <c r="AR113" s="3"/>
      <c r="AU113" s="99">
        <f>120*$E113/9</f>
        <v>53.333333333333336</v>
      </c>
      <c r="AV113" s="99">
        <f>500*$E113/9</f>
        <v>222.22222222222223</v>
      </c>
      <c r="AW113" s="110"/>
      <c r="AX113" s="110"/>
      <c r="AY113" s="99">
        <f>67/9*E113</f>
        <v>29.77777777777778</v>
      </c>
      <c r="AZ113" s="3"/>
      <c r="BA113" s="99">
        <f>1*$E113/9</f>
        <v>0.4444444444444444</v>
      </c>
      <c r="BE113" s="97"/>
      <c r="BG113" s="99">
        <f>600*$E113/9</f>
        <v>266.6666666666667</v>
      </c>
      <c r="BO113" s="99">
        <f>0*$E113/9</f>
        <v>0</v>
      </c>
      <c r="BP113" s="110"/>
      <c r="BT113" s="110"/>
      <c r="BU113" s="110"/>
      <c r="BV113" s="110"/>
      <c r="BW113" s="3"/>
      <c r="BX113" s="58">
        <f>0.45*325/9*$E113</f>
        <v>65</v>
      </c>
      <c r="BY113" s="3"/>
      <c r="BZ113" s="58">
        <f>0.14*200/9*E113</f>
        <v>12.444444444444446</v>
      </c>
      <c r="CA113" s="58">
        <f>0.01*200/9*E113</f>
        <v>0.8888888888888888</v>
      </c>
      <c r="CB113" s="99">
        <f>800*$E113/9</f>
        <v>355.55555555555554</v>
      </c>
      <c r="CC113" s="110"/>
      <c r="CD113" s="110"/>
      <c r="CE113" s="99">
        <f>200/9*$E113</f>
        <v>88.88888888888889</v>
      </c>
      <c r="CF113" s="110"/>
      <c r="CG113" s="110"/>
      <c r="CH113" s="58">
        <f>(0.75*25)/9*E113</f>
        <v>8.333333333333334</v>
      </c>
      <c r="CI113" s="3"/>
      <c r="CK113" s="99">
        <f>200*$E113/9</f>
        <v>88.88888888888889</v>
      </c>
      <c r="CM113" s="3"/>
      <c r="CP113" s="99">
        <f>408/448*200*$E113/9</f>
        <v>80.95238095238095</v>
      </c>
      <c r="CQ113" s="110"/>
      <c r="DB113" s="58">
        <f>70/9*E113</f>
        <v>31.11111111111111</v>
      </c>
      <c r="DG113" s="99">
        <f>250*$E113/9</f>
        <v>111.11111111111111</v>
      </c>
      <c r="DH113" s="110"/>
      <c r="DI113" s="99">
        <f>75*$E113/9</f>
        <v>33.333333333333336</v>
      </c>
      <c r="DJ113" s="110"/>
      <c r="DK113" s="110"/>
      <c r="DL113" s="110"/>
      <c r="DM113" s="110"/>
      <c r="DN113" s="110"/>
      <c r="DO113" s="110"/>
      <c r="DP113" s="110"/>
      <c r="DQ113" s="3"/>
      <c r="DR113" s="3"/>
      <c r="DS113" s="3"/>
      <c r="DT113" s="58">
        <f>15/9*E113</f>
        <v>6.666666666666667</v>
      </c>
      <c r="DU113" s="100">
        <f>8/9*E113</f>
        <v>3.5555555555555554</v>
      </c>
      <c r="DV113" s="99">
        <f>3*$E113/9</f>
        <v>1.3333333333333333</v>
      </c>
      <c r="DW113" s="110"/>
      <c r="DX113" s="99">
        <f>(335.96+35.28+11.74+7.83+5.87+3.4)/9*$E113</f>
        <v>177.81333333333333</v>
      </c>
      <c r="DY113" s="99">
        <f>1*$E113/9</f>
        <v>0.4444444444444444</v>
      </c>
      <c r="DZ113" s="110"/>
      <c r="EB113" s="110"/>
      <c r="EC113" s="110"/>
      <c r="ED113" s="99">
        <f>125*$E113/9</f>
        <v>55.55555555555556</v>
      </c>
      <c r="EE113" s="110"/>
      <c r="EF113" s="3"/>
      <c r="EG113" s="3"/>
      <c r="EH113" s="3"/>
      <c r="EI113" s="3"/>
      <c r="EJ113" s="3"/>
      <c r="EK113" s="100">
        <f>12.5/4*$E113</f>
        <v>12.5</v>
      </c>
      <c r="EP113" s="99">
        <f>0*$E113/9</f>
        <v>0</v>
      </c>
      <c r="EQ113" s="110"/>
      <c r="ER113" s="69"/>
      <c r="ES113" s="110"/>
      <c r="ET113" s="110"/>
      <c r="EU113" s="99">
        <f>150*$E113/9</f>
        <v>66.66666666666667</v>
      </c>
      <c r="EV113" s="97"/>
      <c r="EW113" s="97"/>
      <c r="EX113" s="97"/>
      <c r="EY113" s="97"/>
      <c r="EZ113" s="97"/>
      <c r="FA113" s="97"/>
      <c r="FB113" s="97"/>
      <c r="FC113" s="99">
        <f>(0.98*325+0.5*12.5+0.75*25)/9*E113</f>
        <v>152.66666666666666</v>
      </c>
      <c r="FD113" s="99">
        <f>85/9*$E113</f>
        <v>37.77777777777778</v>
      </c>
      <c r="FE113" s="99">
        <f>37.4*$E113/9</f>
        <v>16.62222222222222</v>
      </c>
      <c r="FF113" s="97"/>
      <c r="FG113" s="97"/>
      <c r="FH113" s="99">
        <f>(0.95*25+(0.95-0.75)*25)/9*E113</f>
        <v>12.777777777777779</v>
      </c>
      <c r="FJ113" s="110"/>
      <c r="FY113" s="99">
        <f>100*$E113/9</f>
        <v>44.44444444444444</v>
      </c>
      <c r="FZ113" s="99">
        <f>0.25*200*$E113/9</f>
        <v>22.22222222222222</v>
      </c>
      <c r="GA113" s="99">
        <f>0.25*200*$E113/9</f>
        <v>22.22222222222222</v>
      </c>
      <c r="GB113" s="97"/>
      <c r="GC113" s="99">
        <f>10/9*$E113</f>
        <v>4.444444444444445</v>
      </c>
      <c r="GD113" s="97"/>
      <c r="GE113" s="97"/>
      <c r="GF113" s="97"/>
      <c r="GG113" s="99">
        <f>0.85*100/9*$E113</f>
        <v>37.77777777777778</v>
      </c>
      <c r="GH113" s="3"/>
      <c r="GI113" s="97"/>
      <c r="GJ113" s="97"/>
      <c r="GK113" s="97"/>
      <c r="GL113" s="97"/>
      <c r="GM113" s="99">
        <f>200*$E113/9</f>
        <v>88.88888888888889</v>
      </c>
      <c r="GN113" s="110"/>
      <c r="GO113" s="99">
        <f>0*$E113/9</f>
        <v>0</v>
      </c>
      <c r="GP113" s="110"/>
      <c r="GQ113" s="110"/>
      <c r="GR113" s="99">
        <f>100*$E113/9</f>
        <v>44.44444444444444</v>
      </c>
      <c r="GS113" s="97"/>
      <c r="GX113" s="99">
        <f>2300/9*E113</f>
        <v>1022.2222222222222</v>
      </c>
      <c r="GZ113" s="99">
        <f>125*$E113/9</f>
        <v>55.55555555555556</v>
      </c>
      <c r="HA113" s="99">
        <f>50*$E113/9</f>
        <v>22.22222222222222</v>
      </c>
      <c r="HB113" s="99">
        <f>0.4*862*$E113/9</f>
        <v>153.24444444444444</v>
      </c>
      <c r="HC113" s="99">
        <f>(0.58+0.02)*862*$E113/9</f>
        <v>229.86666666666665</v>
      </c>
      <c r="HD113" s="99">
        <f>5*$E113/9</f>
        <v>2.2222222222222223</v>
      </c>
      <c r="HE113" s="99">
        <f>600*$E113/9</f>
        <v>266.6666666666667</v>
      </c>
      <c r="HF113" s="99">
        <f>2.5*$E113/9</f>
        <v>1.1111111111111112</v>
      </c>
      <c r="HG113" s="110"/>
      <c r="HH113" s="99">
        <f>100*$E113/9</f>
        <v>44.44444444444444</v>
      </c>
      <c r="HI113" s="99">
        <f>250*$E113/9</f>
        <v>111.11111111111111</v>
      </c>
      <c r="HJ113" s="99">
        <f>250*$E113/9</f>
        <v>111.11111111111111</v>
      </c>
      <c r="HK113" s="97"/>
      <c r="HL113" s="99">
        <f>100*$E113/9</f>
        <v>44.44444444444444</v>
      </c>
      <c r="HM113" s="99">
        <f>2000*$E113/9</f>
        <v>888.8888888888889</v>
      </c>
      <c r="HN113" s="99">
        <f>250/9*E113</f>
        <v>111.11111111111111</v>
      </c>
      <c r="HO113" s="99">
        <f>800*$E113/9</f>
        <v>355.55555555555554</v>
      </c>
      <c r="HP113" s="99">
        <f>400*$E113/9</f>
        <v>177.77777777777777</v>
      </c>
      <c r="HQ113" s="97"/>
      <c r="IH113" s="58">
        <f>465/9*E113</f>
        <v>206.66666666666666</v>
      </c>
      <c r="II113" s="99">
        <f>(20+15)*$E113/9</f>
        <v>15.555555555555555</v>
      </c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165" s="3" customFormat="1" ht="12.75" customHeight="1">
      <c r="A114" s="65" t="s">
        <v>383</v>
      </c>
      <c r="B114" s="65"/>
      <c r="C114" s="66">
        <v>892</v>
      </c>
      <c r="D114" s="67" t="s">
        <v>384</v>
      </c>
      <c r="E114" s="68">
        <v>2</v>
      </c>
      <c r="F114" s="51"/>
      <c r="G114" s="51"/>
      <c r="V114" s="3">
        <f>81*$E114</f>
        <v>162</v>
      </c>
      <c r="ER114" s="69"/>
      <c r="FI114" s="70"/>
    </row>
    <row r="115" spans="1:144" ht="12.75" customHeight="1">
      <c r="A115" s="72" t="s">
        <v>385</v>
      </c>
      <c r="B115" s="72"/>
      <c r="C115" s="73">
        <v>41</v>
      </c>
      <c r="D115" s="74" t="s">
        <v>300</v>
      </c>
      <c r="E115" s="113">
        <v>2</v>
      </c>
      <c r="F115" s="77"/>
      <c r="G115" s="77"/>
      <c r="V115" s="3"/>
      <c r="EN115" s="75">
        <f>E115</f>
        <v>2</v>
      </c>
    </row>
    <row r="116" spans="1:144" ht="12.75" customHeight="1">
      <c r="A116" s="62" t="s">
        <v>385</v>
      </c>
      <c r="B116" s="62"/>
      <c r="C116" s="63">
        <v>41</v>
      </c>
      <c r="D116" s="64" t="s">
        <v>386</v>
      </c>
      <c r="E116" s="56">
        <v>1.3</v>
      </c>
      <c r="F116" s="77"/>
      <c r="G116" s="77"/>
      <c r="V116" s="3"/>
      <c r="EN116" s="58">
        <f>$E116</f>
        <v>1.3</v>
      </c>
    </row>
    <row r="117" spans="1:224" ht="12.75" customHeight="1">
      <c r="A117" s="65" t="s">
        <v>387</v>
      </c>
      <c r="B117" s="65"/>
      <c r="C117" s="66">
        <v>17009</v>
      </c>
      <c r="D117" s="67" t="s">
        <v>332</v>
      </c>
      <c r="E117" s="68">
        <v>2</v>
      </c>
      <c r="F117" s="51"/>
      <c r="G117" s="51"/>
      <c r="H117" s="3"/>
      <c r="I117" s="3"/>
      <c r="J117" s="3"/>
      <c r="K117" s="3"/>
      <c r="L117" s="3"/>
      <c r="M117" s="3"/>
      <c r="N117" s="3"/>
      <c r="O117" s="3"/>
      <c r="P117" s="3"/>
      <c r="AG117" s="3"/>
      <c r="AH117" s="3"/>
      <c r="AI117" s="3"/>
      <c r="AL117" s="3"/>
      <c r="AM117" s="3"/>
      <c r="AO117" s="3"/>
      <c r="AP117" s="3"/>
      <c r="AQ117" s="3"/>
      <c r="BT117" s="3"/>
      <c r="BU117" s="3"/>
      <c r="BV117" s="3"/>
      <c r="BW117" s="3"/>
      <c r="BX117" s="3"/>
      <c r="BY117" s="3"/>
      <c r="BZ117" s="3"/>
      <c r="CA117" s="3"/>
      <c r="CB117" s="3"/>
      <c r="CD117" s="3"/>
      <c r="CE117" s="3"/>
      <c r="CF117" s="3"/>
      <c r="CH117" s="3"/>
      <c r="CI117" s="3"/>
      <c r="CP117" s="3"/>
      <c r="CQ117" s="3"/>
      <c r="FC117" s="3"/>
      <c r="FD117" s="3"/>
      <c r="FJ117" s="1">
        <f>1000*$E117</f>
        <v>2000</v>
      </c>
      <c r="HL117" s="3"/>
      <c r="HM117" s="3"/>
      <c r="HN117" s="3"/>
      <c r="HO117" s="3"/>
      <c r="HP117" s="3"/>
    </row>
    <row r="118" spans="1:224" ht="12.75" customHeight="1">
      <c r="A118" s="65" t="s">
        <v>388</v>
      </c>
      <c r="B118" s="65"/>
      <c r="C118" s="66">
        <v>555</v>
      </c>
      <c r="D118" s="67" t="s">
        <v>389</v>
      </c>
      <c r="E118" s="68" t="s">
        <v>352</v>
      </c>
      <c r="F118" s="51"/>
      <c r="G118" s="51"/>
      <c r="H118" s="3"/>
      <c r="I118" s="3"/>
      <c r="J118" s="3"/>
      <c r="K118" s="3"/>
      <c r="L118" s="3"/>
      <c r="M118" s="3"/>
      <c r="N118" s="3"/>
      <c r="O118" s="3"/>
      <c r="P118" s="3"/>
      <c r="AG118" s="3"/>
      <c r="AH118" s="3"/>
      <c r="AI118" s="3"/>
      <c r="AL118" s="3"/>
      <c r="AM118" s="3"/>
      <c r="AO118" s="3"/>
      <c r="AP118" s="3"/>
      <c r="AQ118" s="3"/>
      <c r="BT118" s="3"/>
      <c r="BU118" s="3"/>
      <c r="BV118" s="3"/>
      <c r="BW118" s="3"/>
      <c r="BX118" s="3"/>
      <c r="BY118" s="3"/>
      <c r="BZ118" s="3"/>
      <c r="CA118" s="3"/>
      <c r="CB118" s="3"/>
      <c r="CD118" s="3"/>
      <c r="CE118" s="3"/>
      <c r="CF118" s="3"/>
      <c r="CH118" s="3"/>
      <c r="CI118" s="3"/>
      <c r="CP118" s="3"/>
      <c r="CQ118" s="3"/>
      <c r="FC118" s="3"/>
      <c r="FD118" s="3"/>
      <c r="HL118" s="3"/>
      <c r="HM118" s="3"/>
      <c r="HN118" s="3"/>
      <c r="HO118" s="3"/>
      <c r="HP118" s="3"/>
    </row>
    <row r="119" spans="1:202" ht="12.75" customHeight="1">
      <c r="A119" s="80" t="s">
        <v>390</v>
      </c>
      <c r="B119" s="80"/>
      <c r="C119" s="86">
        <v>36</v>
      </c>
      <c r="D119" s="82" t="s">
        <v>325</v>
      </c>
      <c r="E119" s="87">
        <v>1.2</v>
      </c>
      <c r="F119" s="51"/>
      <c r="G119" s="51"/>
      <c r="H119" s="3"/>
      <c r="I119" s="3"/>
      <c r="J119" s="3"/>
      <c r="K119" s="3"/>
      <c r="L119" s="3"/>
      <c r="M119" s="3"/>
      <c r="N119" s="3"/>
      <c r="O119" s="3"/>
      <c r="P119" s="3"/>
      <c r="AG119" s="3"/>
      <c r="AH119" s="3"/>
      <c r="AI119" s="3"/>
      <c r="AL119" s="3"/>
      <c r="AM119" s="3"/>
      <c r="AO119" s="3"/>
      <c r="AP119" s="3"/>
      <c r="AQ119" s="3"/>
      <c r="BT119" s="3"/>
      <c r="BU119" s="3"/>
      <c r="BV119" s="3"/>
      <c r="BW119" s="3"/>
      <c r="BX119" s="3"/>
      <c r="BY119" s="3"/>
      <c r="BZ119" s="3"/>
      <c r="CA119" s="3"/>
      <c r="CB119" s="3"/>
      <c r="CD119" s="3"/>
      <c r="CE119" s="3"/>
      <c r="CF119" s="3"/>
      <c r="CH119" s="3"/>
      <c r="CI119" s="3"/>
      <c r="CP119" s="3"/>
      <c r="CQ119" s="3"/>
      <c r="FC119" s="3"/>
      <c r="FD119" s="3"/>
      <c r="GT119" s="83">
        <f>E119*1000</f>
        <v>1200</v>
      </c>
    </row>
    <row r="120" spans="1:202" ht="12.75" customHeight="1">
      <c r="A120" s="62" t="s">
        <v>390</v>
      </c>
      <c r="B120" s="62"/>
      <c r="C120" s="63">
        <v>36</v>
      </c>
      <c r="D120" s="64" t="s">
        <v>325</v>
      </c>
      <c r="E120" s="56">
        <v>0.9</v>
      </c>
      <c r="F120" s="77"/>
      <c r="G120" s="77"/>
      <c r="H120" s="3"/>
      <c r="I120" s="3"/>
      <c r="J120" s="3"/>
      <c r="K120" s="3"/>
      <c r="L120" s="3"/>
      <c r="M120" s="3"/>
      <c r="N120" s="3"/>
      <c r="O120" s="3"/>
      <c r="P120" s="3"/>
      <c r="AG120" s="3"/>
      <c r="AH120" s="3"/>
      <c r="AI120" s="3"/>
      <c r="AL120" s="3"/>
      <c r="AM120" s="3"/>
      <c r="AO120" s="3"/>
      <c r="AP120" s="3"/>
      <c r="AQ120" s="3"/>
      <c r="BT120" s="3"/>
      <c r="BU120" s="3"/>
      <c r="BV120" s="3"/>
      <c r="BW120" s="3"/>
      <c r="BX120" s="3"/>
      <c r="BY120" s="3"/>
      <c r="BZ120" s="3"/>
      <c r="CA120" s="3"/>
      <c r="CB120" s="3"/>
      <c r="CD120" s="3"/>
      <c r="CE120" s="3"/>
      <c r="CF120" s="3"/>
      <c r="CH120" s="3"/>
      <c r="CI120" s="3"/>
      <c r="CP120" s="3"/>
      <c r="CQ120" s="3"/>
      <c r="FC120" s="3"/>
      <c r="FD120" s="3"/>
      <c r="GT120" s="58">
        <f>E120*1000</f>
        <v>900</v>
      </c>
    </row>
    <row r="121" spans="1:242" ht="12.75" customHeight="1">
      <c r="A121" s="80" t="s">
        <v>391</v>
      </c>
      <c r="B121" s="80"/>
      <c r="C121" s="86">
        <v>260</v>
      </c>
      <c r="D121" s="82" t="s">
        <v>386</v>
      </c>
      <c r="E121" s="87">
        <f>1.2*5</f>
        <v>6</v>
      </c>
      <c r="F121" s="77"/>
      <c r="G121" s="77"/>
      <c r="H121" s="3"/>
      <c r="I121" s="3"/>
      <c r="J121" s="3"/>
      <c r="K121" s="3"/>
      <c r="L121" s="3"/>
      <c r="M121" s="3"/>
      <c r="N121" s="3"/>
      <c r="O121" s="3"/>
      <c r="P121" s="3"/>
      <c r="AG121" s="3"/>
      <c r="AH121" s="3"/>
      <c r="AI121" s="3"/>
      <c r="AL121" s="3"/>
      <c r="AM121" s="3"/>
      <c r="AO121" s="3"/>
      <c r="AP121" s="3"/>
      <c r="AQ121" s="3"/>
      <c r="BT121" s="3"/>
      <c r="BU121" s="3"/>
      <c r="BV121" s="3"/>
      <c r="BW121" s="3"/>
      <c r="BX121" s="3"/>
      <c r="BY121" s="3"/>
      <c r="BZ121" s="3"/>
      <c r="CA121" s="3"/>
      <c r="CB121" s="3"/>
      <c r="CD121" s="3"/>
      <c r="CE121" s="3"/>
      <c r="CF121" s="3"/>
      <c r="CH121" s="3"/>
      <c r="CI121" s="3"/>
      <c r="CP121" s="3"/>
      <c r="CQ121" s="3"/>
      <c r="DT121" s="83">
        <f>(2+14)/10*E121</f>
        <v>9.600000000000001</v>
      </c>
      <c r="DU121" s="3"/>
      <c r="DV121" s="83">
        <f>4.3/10*E121</f>
        <v>2.58</v>
      </c>
      <c r="DW121" s="3"/>
      <c r="FC121" s="3"/>
      <c r="FD121" s="3"/>
      <c r="IH121" s="83">
        <f>(296+700)/10*E121</f>
        <v>597.5999999999999</v>
      </c>
    </row>
    <row r="122" spans="1:242" ht="12.75" customHeight="1">
      <c r="A122" s="62" t="s">
        <v>391</v>
      </c>
      <c r="B122" s="62"/>
      <c r="C122" s="63">
        <v>260</v>
      </c>
      <c r="D122" s="64" t="s">
        <v>386</v>
      </c>
      <c r="E122" s="56">
        <f>0.8*5</f>
        <v>4</v>
      </c>
      <c r="F122" s="77"/>
      <c r="G122" s="77"/>
      <c r="H122" s="3"/>
      <c r="I122" s="3"/>
      <c r="J122" s="3"/>
      <c r="K122" s="3"/>
      <c r="L122" s="3"/>
      <c r="M122" s="3"/>
      <c r="N122" s="3"/>
      <c r="O122" s="3"/>
      <c r="P122" s="3"/>
      <c r="AG122" s="3"/>
      <c r="AH122" s="3"/>
      <c r="AI122" s="3"/>
      <c r="AL122" s="3"/>
      <c r="AM122" s="3"/>
      <c r="AO122" s="3"/>
      <c r="AP122" s="3"/>
      <c r="AQ122" s="3"/>
      <c r="BT122" s="3"/>
      <c r="BU122" s="3"/>
      <c r="BV122" s="3"/>
      <c r="BW122" s="3"/>
      <c r="BX122" s="3"/>
      <c r="BY122" s="3"/>
      <c r="BZ122" s="3"/>
      <c r="CA122" s="3"/>
      <c r="CB122" s="3"/>
      <c r="CD122" s="3"/>
      <c r="CE122" s="3"/>
      <c r="CF122" s="3"/>
      <c r="CH122" s="3"/>
      <c r="CI122" s="3"/>
      <c r="CP122" s="3"/>
      <c r="CQ122" s="3"/>
      <c r="DT122" s="58">
        <f>(2+14)/10*E122</f>
        <v>6.4</v>
      </c>
      <c r="DU122" s="3"/>
      <c r="DV122" s="58">
        <f>4.3/10*E122</f>
        <v>1.72</v>
      </c>
      <c r="DW122" s="3"/>
      <c r="FC122" s="3"/>
      <c r="FD122" s="3"/>
      <c r="IH122" s="58">
        <f>(296+700)/10*E122</f>
        <v>398.4</v>
      </c>
    </row>
    <row r="123" spans="1:165" s="3" customFormat="1" ht="12.75" customHeight="1">
      <c r="A123" s="65" t="s">
        <v>392</v>
      </c>
      <c r="B123" s="65"/>
      <c r="C123" s="66">
        <v>502</v>
      </c>
      <c r="D123" s="67" t="s">
        <v>393</v>
      </c>
      <c r="E123" s="68">
        <v>2</v>
      </c>
      <c r="F123" s="51"/>
      <c r="G123" s="51"/>
      <c r="DX123" s="3">
        <f>160*E123</f>
        <v>320</v>
      </c>
      <c r="ER123" s="69"/>
      <c r="FI123" s="70"/>
    </row>
    <row r="124" spans="1:242" ht="12.75" customHeight="1">
      <c r="A124" s="80" t="s">
        <v>394</v>
      </c>
      <c r="B124" s="80"/>
      <c r="C124" s="86">
        <v>57</v>
      </c>
      <c r="D124" s="82" t="s">
        <v>395</v>
      </c>
      <c r="E124" s="87">
        <f>1.2*250</f>
        <v>300</v>
      </c>
      <c r="F124" s="77"/>
      <c r="G124" s="77"/>
      <c r="H124" s="3"/>
      <c r="I124" s="3"/>
      <c r="J124" s="3"/>
      <c r="K124" s="3"/>
      <c r="L124" s="3"/>
      <c r="M124" s="3"/>
      <c r="N124" s="3"/>
      <c r="O124" s="3"/>
      <c r="P124" s="3"/>
      <c r="AG124" s="3"/>
      <c r="AH124" s="3"/>
      <c r="AI124" s="3"/>
      <c r="AL124" s="3"/>
      <c r="AM124" s="3"/>
      <c r="AO124" s="3"/>
      <c r="AP124" s="3"/>
      <c r="AQ124" s="3"/>
      <c r="BT124" s="3"/>
      <c r="BU124" s="3"/>
      <c r="BV124" s="3"/>
      <c r="BW124" s="3"/>
      <c r="BX124" s="3"/>
      <c r="BY124" s="3"/>
      <c r="BZ124" s="3"/>
      <c r="CA124" s="3"/>
      <c r="CB124" s="3"/>
      <c r="CD124" s="3"/>
      <c r="CE124" s="3"/>
      <c r="CF124" s="3"/>
      <c r="CH124" s="3"/>
      <c r="CI124" s="3"/>
      <c r="CP124" s="3"/>
      <c r="CQ124" s="3"/>
      <c r="DT124" s="3"/>
      <c r="DU124" s="3"/>
      <c r="DV124" s="3"/>
      <c r="DW124" s="3"/>
      <c r="DX124" s="83">
        <f>E124*0.61</f>
        <v>183</v>
      </c>
      <c r="FC124" s="3"/>
      <c r="FD124" s="3"/>
      <c r="IH124" s="3"/>
    </row>
    <row r="125" spans="1:160" ht="12.75" customHeight="1">
      <c r="A125" s="62" t="s">
        <v>394</v>
      </c>
      <c r="B125" s="62"/>
      <c r="C125" s="63">
        <v>57</v>
      </c>
      <c r="D125" s="64" t="s">
        <v>395</v>
      </c>
      <c r="E125" s="56">
        <f>250*0.8</f>
        <v>200</v>
      </c>
      <c r="F125" s="77"/>
      <c r="G125" s="77"/>
      <c r="H125" s="3"/>
      <c r="I125" s="3"/>
      <c r="J125" s="3"/>
      <c r="K125" s="3"/>
      <c r="L125" s="3"/>
      <c r="M125" s="3"/>
      <c r="N125" s="3"/>
      <c r="O125" s="3"/>
      <c r="P125" s="3"/>
      <c r="AG125" s="3"/>
      <c r="AH125" s="3"/>
      <c r="AI125" s="3"/>
      <c r="AL125" s="3"/>
      <c r="AM125" s="3"/>
      <c r="AO125" s="3"/>
      <c r="AP125" s="3"/>
      <c r="AQ125" s="3"/>
      <c r="BT125" s="3"/>
      <c r="BU125" s="3"/>
      <c r="BV125" s="3"/>
      <c r="BW125" s="3"/>
      <c r="BX125" s="3"/>
      <c r="BY125" s="3"/>
      <c r="BZ125" s="3"/>
      <c r="CA125" s="3"/>
      <c r="CB125" s="3"/>
      <c r="CD125" s="3"/>
      <c r="CE125" s="3"/>
      <c r="CF125" s="3"/>
      <c r="CH125" s="3"/>
      <c r="CI125" s="3"/>
      <c r="CP125" s="3"/>
      <c r="CQ125" s="3"/>
      <c r="DX125" s="58">
        <f>E125*0.61</f>
        <v>122</v>
      </c>
      <c r="FC125" s="3"/>
      <c r="FD125" s="3"/>
    </row>
    <row r="126" spans="1:165" s="3" customFormat="1" ht="12.75" customHeight="1">
      <c r="A126" s="65" t="s">
        <v>396</v>
      </c>
      <c r="B126" s="65"/>
      <c r="C126" s="66">
        <v>704</v>
      </c>
      <c r="D126" s="67" t="s">
        <v>397</v>
      </c>
      <c r="E126" s="68">
        <v>1</v>
      </c>
      <c r="F126" s="51"/>
      <c r="G126" s="51"/>
      <c r="CZ126" s="3">
        <f>250*E126</f>
        <v>250</v>
      </c>
      <c r="ER126" s="69"/>
      <c r="FI126" s="70"/>
    </row>
    <row r="127" spans="1:185" s="93" customFormat="1" ht="12.75" customHeight="1">
      <c r="A127" s="88" t="s">
        <v>398</v>
      </c>
      <c r="B127" s="88"/>
      <c r="C127" s="89">
        <v>756</v>
      </c>
      <c r="D127" s="90" t="s">
        <v>255</v>
      </c>
      <c r="E127" s="91">
        <v>0</v>
      </c>
      <c r="F127" s="92"/>
      <c r="G127" s="92"/>
      <c r="CO127" s="93">
        <f>285*$E127</f>
        <v>0</v>
      </c>
      <c r="ER127" s="94"/>
      <c r="FI127" s="95"/>
      <c r="GC127" s="93">
        <f>10*E127</f>
        <v>0</v>
      </c>
    </row>
    <row r="128" spans="1:165" s="3" customFormat="1" ht="12.75" customHeight="1">
      <c r="A128" s="65" t="s">
        <v>399</v>
      </c>
      <c r="B128" s="65"/>
      <c r="C128" s="66">
        <v>753</v>
      </c>
      <c r="D128" s="65" t="s">
        <v>400</v>
      </c>
      <c r="E128" s="68">
        <v>1</v>
      </c>
      <c r="F128" s="51"/>
      <c r="G128" s="51"/>
      <c r="BX128" s="3">
        <f>246.5*$E128</f>
        <v>246.5</v>
      </c>
      <c r="ER128" s="69"/>
      <c r="FC128" s="3">
        <f>427.75*$E128</f>
        <v>427.75</v>
      </c>
      <c r="FI128" s="70"/>
    </row>
    <row r="129" spans="1:221" s="3" customFormat="1" ht="12.75" customHeight="1">
      <c r="A129" s="59" t="s">
        <v>401</v>
      </c>
      <c r="B129" s="59"/>
      <c r="C129" s="60">
        <v>277</v>
      </c>
      <c r="D129" s="59" t="s">
        <v>402</v>
      </c>
      <c r="E129" s="49">
        <v>2</v>
      </c>
      <c r="F129" s="51"/>
      <c r="G129" s="51"/>
      <c r="AJ129" s="52">
        <f>48*E129</f>
        <v>96</v>
      </c>
      <c r="AV129" s="52">
        <f>50*E129</f>
        <v>100</v>
      </c>
      <c r="DG129" s="52">
        <f>100*E129</f>
        <v>200</v>
      </c>
      <c r="DX129" s="52">
        <f>120*E129</f>
        <v>240</v>
      </c>
      <c r="DZ129" s="52">
        <f>(2.5*2)*E129</f>
        <v>10</v>
      </c>
      <c r="ER129" s="69"/>
      <c r="FI129" s="70"/>
      <c r="HC129" s="52">
        <f>73.5*E129</f>
        <v>147</v>
      </c>
      <c r="HF129" s="52">
        <f>6*E129</f>
        <v>12</v>
      </c>
      <c r="HI129" s="52">
        <f>100*E129</f>
        <v>200</v>
      </c>
      <c r="HM129" s="52">
        <f>220*E129</f>
        <v>440</v>
      </c>
    </row>
    <row r="130" spans="1:165" s="3" customFormat="1" ht="12.75" customHeight="1">
      <c r="A130" s="59" t="s">
        <v>403</v>
      </c>
      <c r="B130" s="59"/>
      <c r="C130" s="60">
        <v>331</v>
      </c>
      <c r="D130" s="59" t="s">
        <v>404</v>
      </c>
      <c r="E130" s="49">
        <v>3</v>
      </c>
      <c r="F130" s="51"/>
      <c r="G130" s="51"/>
      <c r="DZ130" s="52">
        <f>(2.5*2)*E130</f>
        <v>15</v>
      </c>
      <c r="ER130" s="69"/>
      <c r="FI130" s="70"/>
    </row>
    <row r="131" spans="1:221" s="3" customFormat="1" ht="12.75" customHeight="1">
      <c r="A131" s="62" t="s">
        <v>401</v>
      </c>
      <c r="B131" s="62"/>
      <c r="C131" s="63">
        <v>277</v>
      </c>
      <c r="D131" s="62" t="s">
        <v>402</v>
      </c>
      <c r="E131" s="56">
        <v>2</v>
      </c>
      <c r="F131" s="51"/>
      <c r="G131" s="51"/>
      <c r="AJ131" s="58">
        <f>48*E131</f>
        <v>96</v>
      </c>
      <c r="AV131" s="58">
        <f>50*E131</f>
        <v>100</v>
      </c>
      <c r="DG131" s="58">
        <f>100*E131</f>
        <v>200</v>
      </c>
      <c r="DX131" s="58">
        <f>120*E131</f>
        <v>240</v>
      </c>
      <c r="DZ131" s="58">
        <f>(2.5*2)*E131</f>
        <v>10</v>
      </c>
      <c r="ER131" s="69"/>
      <c r="FI131" s="70"/>
      <c r="HC131" s="58">
        <f>73.5*E131</f>
        <v>147</v>
      </c>
      <c r="HF131" s="58">
        <f>6*E131</f>
        <v>12</v>
      </c>
      <c r="HI131" s="58">
        <f>100*E131</f>
        <v>200</v>
      </c>
      <c r="HM131" s="58">
        <f>220*E131</f>
        <v>440</v>
      </c>
    </row>
    <row r="132" spans="1:165" s="3" customFormat="1" ht="12.75" customHeight="1">
      <c r="A132" s="62" t="s">
        <v>403</v>
      </c>
      <c r="B132" s="62"/>
      <c r="C132" s="63">
        <v>331</v>
      </c>
      <c r="D132" s="62" t="s">
        <v>404</v>
      </c>
      <c r="E132" s="56">
        <v>2</v>
      </c>
      <c r="F132" s="51"/>
      <c r="G132" s="51"/>
      <c r="DZ132" s="58">
        <f>(2.5*2)*E132</f>
        <v>10</v>
      </c>
      <c r="ER132" s="69"/>
      <c r="FI132" s="70"/>
    </row>
    <row r="133" spans="1:165" s="3" customFormat="1" ht="12.75" customHeight="1">
      <c r="A133" s="65" t="s">
        <v>405</v>
      </c>
      <c r="B133" s="65"/>
      <c r="C133" s="66">
        <v>985</v>
      </c>
      <c r="D133" s="65" t="s">
        <v>406</v>
      </c>
      <c r="E133" s="68">
        <v>1</v>
      </c>
      <c r="F133" s="51"/>
      <c r="G133" s="51"/>
      <c r="Z133" s="3">
        <f>1875*E133</f>
        <v>1875</v>
      </c>
      <c r="AB133" s="3">
        <f>2250*E133</f>
        <v>2250</v>
      </c>
      <c r="ER133" s="69"/>
      <c r="FI133" s="70"/>
    </row>
    <row r="134" spans="1:165" s="119" customFormat="1" ht="12.75" customHeight="1">
      <c r="A134" s="114" t="s">
        <v>407</v>
      </c>
      <c r="B134" s="114"/>
      <c r="C134" s="115">
        <v>719</v>
      </c>
      <c r="D134" s="116" t="s">
        <v>408</v>
      </c>
      <c r="E134" s="117">
        <v>0</v>
      </c>
      <c r="F134" s="118"/>
      <c r="G134" s="118"/>
      <c r="DO134" s="119">
        <f>800*E134</f>
        <v>0</v>
      </c>
      <c r="ER134" s="120"/>
      <c r="FI134" s="121"/>
    </row>
    <row r="135" spans="1:219" ht="12.75" customHeight="1">
      <c r="A135" s="78" t="s">
        <v>409</v>
      </c>
      <c r="B135" s="78"/>
      <c r="C135" s="37">
        <v>537</v>
      </c>
      <c r="D135" s="79" t="s">
        <v>410</v>
      </c>
      <c r="E135" s="68">
        <v>1</v>
      </c>
      <c r="F135" s="77"/>
      <c r="G135" s="77"/>
      <c r="H135" s="3"/>
      <c r="I135" s="3"/>
      <c r="J135" s="3"/>
      <c r="K135" s="3"/>
      <c r="L135" s="3"/>
      <c r="M135" s="3"/>
      <c r="N135" s="3"/>
      <c r="O135" s="3"/>
      <c r="P135" s="3"/>
      <c r="AG135" s="3"/>
      <c r="AH135" s="3"/>
      <c r="AI135" s="3"/>
      <c r="AL135" s="3"/>
      <c r="AM135" s="3"/>
      <c r="AO135" s="3"/>
      <c r="AP135" s="3"/>
      <c r="AQ135" s="3"/>
      <c r="CP135" s="3"/>
      <c r="CQ135" s="3"/>
      <c r="FC135" s="3"/>
      <c r="FD135" s="3"/>
      <c r="HK135" s="3">
        <f>5*$E135*1000</f>
        <v>5000</v>
      </c>
    </row>
    <row r="136" spans="1:208" ht="12.75" customHeight="1">
      <c r="A136" s="80" t="s">
        <v>411</v>
      </c>
      <c r="B136" s="80"/>
      <c r="C136" s="86">
        <v>768</v>
      </c>
      <c r="D136" s="82" t="s">
        <v>252</v>
      </c>
      <c r="E136" s="49">
        <v>4</v>
      </c>
      <c r="F136" s="77"/>
      <c r="G136" s="77"/>
      <c r="H136" s="3"/>
      <c r="I136" s="3"/>
      <c r="J136" s="3"/>
      <c r="K136" s="3"/>
      <c r="L136" s="3"/>
      <c r="M136" s="3"/>
      <c r="N136" s="3"/>
      <c r="O136" s="3"/>
      <c r="P136" s="3"/>
      <c r="R136" s="122">
        <f>174/(203+174+2*36.5)*750/4*$E136</f>
        <v>290</v>
      </c>
      <c r="AG136" s="3"/>
      <c r="AH136" s="3"/>
      <c r="AI136" s="3"/>
      <c r="AL136" s="122">
        <f>203/(203+36.5)*750/4*$E136</f>
        <v>635.6993736951983</v>
      </c>
      <c r="AM136" s="122">
        <f>203/(203+174+2*36.5)*750/4*$E136</f>
        <v>338.33333333333337</v>
      </c>
      <c r="AO136" s="83">
        <f>1000/4*$E136</f>
        <v>1000</v>
      </c>
      <c r="AP136" s="3"/>
      <c r="AQ136" s="3"/>
      <c r="CP136" s="3"/>
      <c r="CQ136" s="3"/>
      <c r="DU136" s="83">
        <f>8/4*$E136</f>
        <v>8</v>
      </c>
      <c r="FC136" s="3"/>
      <c r="FD136" s="3"/>
      <c r="FM136" s="83">
        <f>150/4*$E136</f>
        <v>150</v>
      </c>
      <c r="FN136" s="3"/>
      <c r="FO136" s="83">
        <f>150/4*$E136</f>
        <v>150</v>
      </c>
      <c r="FP136" s="3"/>
      <c r="FQ136" s="3"/>
      <c r="FR136" s="3"/>
      <c r="FS136" s="3"/>
      <c r="FT136" s="3"/>
      <c r="FU136" s="3"/>
      <c r="GH136" s="83">
        <f>300/4*$E136</f>
        <v>300</v>
      </c>
      <c r="GY136" s="83">
        <f>150/4*$E136</f>
        <v>150</v>
      </c>
      <c r="GZ136" s="83">
        <f>50/4*$E136</f>
        <v>50</v>
      </c>
    </row>
    <row r="137" spans="1:208" ht="12.75" customHeight="1">
      <c r="A137" s="62" t="s">
        <v>411</v>
      </c>
      <c r="B137" s="62"/>
      <c r="C137" s="63">
        <v>768</v>
      </c>
      <c r="D137" s="64" t="s">
        <v>252</v>
      </c>
      <c r="E137" s="56">
        <v>3</v>
      </c>
      <c r="F137" s="77"/>
      <c r="G137" s="77"/>
      <c r="H137" s="3"/>
      <c r="I137" s="3"/>
      <c r="J137" s="3"/>
      <c r="K137" s="3"/>
      <c r="L137" s="3"/>
      <c r="M137" s="3"/>
      <c r="N137" s="3"/>
      <c r="O137" s="3"/>
      <c r="P137" s="3"/>
      <c r="R137" s="123">
        <f>174/(203+174+2*36.5)*750/4*$E137</f>
        <v>217.5</v>
      </c>
      <c r="AG137" s="3"/>
      <c r="AH137" s="3"/>
      <c r="AI137" s="3"/>
      <c r="AL137" s="123">
        <f>203/(203+36.5)*750/4*$E137</f>
        <v>476.77453027139876</v>
      </c>
      <c r="AM137" s="123">
        <f>203/(203+174+2*36.5)*750/4*$E137</f>
        <v>253.75000000000003</v>
      </c>
      <c r="AO137" s="58">
        <f>1000/4*$E137</f>
        <v>750</v>
      </c>
      <c r="AP137" s="3"/>
      <c r="AQ137" s="3"/>
      <c r="CP137" s="3"/>
      <c r="CQ137" s="3"/>
      <c r="DU137" s="58">
        <f>8/4*$E137</f>
        <v>6</v>
      </c>
      <c r="FC137" s="3"/>
      <c r="FD137" s="3"/>
      <c r="FM137" s="58">
        <f>150/4*$E137</f>
        <v>112.5</v>
      </c>
      <c r="FN137" s="3"/>
      <c r="FO137" s="58">
        <f>150/4*$E137</f>
        <v>112.5</v>
      </c>
      <c r="FP137" s="3"/>
      <c r="FQ137" s="3"/>
      <c r="FR137" s="3"/>
      <c r="FS137" s="3"/>
      <c r="FT137" s="3"/>
      <c r="FU137" s="3"/>
      <c r="GH137" s="58">
        <f>300/4*$E137</f>
        <v>225</v>
      </c>
      <c r="GY137" s="58">
        <f>150/4*$E137</f>
        <v>112.5</v>
      </c>
      <c r="GZ137" s="58">
        <f>50/4*$E137</f>
        <v>37.5</v>
      </c>
    </row>
    <row r="138" spans="1:133" ht="12.75" customHeight="1">
      <c r="A138" s="80" t="s">
        <v>412</v>
      </c>
      <c r="B138" s="80"/>
      <c r="C138" s="86">
        <v>451</v>
      </c>
      <c r="D138" s="82" t="s">
        <v>332</v>
      </c>
      <c r="E138" s="49">
        <v>2</v>
      </c>
      <c r="F138" s="77"/>
      <c r="G138" s="77"/>
      <c r="EC138" s="83">
        <f>1000*$E138</f>
        <v>2000</v>
      </c>
    </row>
    <row r="139" spans="1:133" ht="12.75" customHeight="1">
      <c r="A139" s="62" t="s">
        <v>412</v>
      </c>
      <c r="B139" s="62"/>
      <c r="C139" s="63">
        <v>451</v>
      </c>
      <c r="D139" s="64" t="s">
        <v>332</v>
      </c>
      <c r="E139" s="56">
        <v>2</v>
      </c>
      <c r="F139" s="77"/>
      <c r="G139" s="77"/>
      <c r="EC139" s="58">
        <f>1000*$E139</f>
        <v>2000</v>
      </c>
    </row>
    <row r="140" spans="1:59" ht="12.75" customHeight="1">
      <c r="A140" s="78" t="s">
        <v>413</v>
      </c>
      <c r="B140" s="78"/>
      <c r="C140" s="37">
        <v>215</v>
      </c>
      <c r="D140" s="79" t="s">
        <v>414</v>
      </c>
      <c r="E140" s="68">
        <v>2</v>
      </c>
      <c r="F140" s="77"/>
      <c r="G140" s="77"/>
      <c r="BG140" s="1">
        <f>600*$E140</f>
        <v>1200</v>
      </c>
    </row>
    <row r="141" spans="1:238" s="3" customFormat="1" ht="12.75" customHeight="1">
      <c r="A141" s="124" t="s">
        <v>415</v>
      </c>
      <c r="B141" s="65"/>
      <c r="C141" s="66">
        <v>904</v>
      </c>
      <c r="D141" s="67" t="s">
        <v>287</v>
      </c>
      <c r="E141" s="68">
        <v>2</v>
      </c>
      <c r="F141" s="51"/>
      <c r="G141" s="51"/>
      <c r="ER141" s="69"/>
      <c r="FC141" s="3">
        <f>0.85*150/2*$E141</f>
        <v>127.5</v>
      </c>
      <c r="FD141" s="3">
        <f>50/2*E141</f>
        <v>50</v>
      </c>
      <c r="FI141" s="70"/>
      <c r="ID141" s="3">
        <f>1700/2*E141</f>
        <v>1700</v>
      </c>
    </row>
    <row r="142" spans="1:238" ht="12.75" customHeight="1">
      <c r="A142" s="59" t="s">
        <v>416</v>
      </c>
      <c r="B142" s="59"/>
      <c r="C142" s="60">
        <v>712</v>
      </c>
      <c r="D142" s="61" t="s">
        <v>417</v>
      </c>
      <c r="E142" s="49">
        <v>1</v>
      </c>
      <c r="F142" s="77"/>
      <c r="G142" s="77"/>
      <c r="AF142" s="52">
        <f>20*$E142</f>
        <v>20</v>
      </c>
      <c r="AH142" s="52">
        <f>300/2*$E142</f>
        <v>150</v>
      </c>
      <c r="BI142" s="52">
        <f>24.97*$E142</f>
        <v>24.97</v>
      </c>
      <c r="BR142" s="52">
        <f>25/2*$E142</f>
        <v>12.5</v>
      </c>
      <c r="CJ142" s="3"/>
      <c r="CY142" s="3"/>
      <c r="CZ142" s="3"/>
      <c r="DQ142" s="52">
        <f>25/2*$E142</f>
        <v>12.5</v>
      </c>
      <c r="DR142" s="3"/>
      <c r="DS142" s="3"/>
      <c r="EJ142" s="52">
        <f>30/2*$E142</f>
        <v>15</v>
      </c>
      <c r="FD142" s="52">
        <f>200/2*$E142</f>
        <v>100</v>
      </c>
      <c r="GL142" s="52">
        <f>400/2*$E142</f>
        <v>200</v>
      </c>
      <c r="IA142" s="52">
        <f>20/2*$E142</f>
        <v>10</v>
      </c>
      <c r="IB142" s="3"/>
      <c r="IC142" s="3"/>
      <c r="ID142" s="3"/>
    </row>
    <row r="143" spans="1:238" ht="12.75" customHeight="1">
      <c r="A143" s="62" t="s">
        <v>416</v>
      </c>
      <c r="B143" s="62"/>
      <c r="C143" s="63">
        <v>712</v>
      </c>
      <c r="D143" s="64" t="s">
        <v>417</v>
      </c>
      <c r="E143" s="56">
        <v>3</v>
      </c>
      <c r="F143" s="77"/>
      <c r="G143" s="77"/>
      <c r="AF143" s="58">
        <f>20*$E143</f>
        <v>60</v>
      </c>
      <c r="AH143" s="58">
        <f>300/2*$E143</f>
        <v>450</v>
      </c>
      <c r="BI143" s="58">
        <f>24.97*$E143</f>
        <v>74.91</v>
      </c>
      <c r="BR143" s="58">
        <f>25/2*$E143</f>
        <v>37.5</v>
      </c>
      <c r="CJ143" s="3"/>
      <c r="CY143" s="3"/>
      <c r="CZ143" s="3"/>
      <c r="DQ143" s="58">
        <f>25/2*$E143</f>
        <v>37.5</v>
      </c>
      <c r="DR143" s="3"/>
      <c r="DS143" s="3"/>
      <c r="EJ143" s="58">
        <f>30/2*$E143</f>
        <v>45</v>
      </c>
      <c r="FD143" s="58">
        <f>200/2*$E143</f>
        <v>300</v>
      </c>
      <c r="GL143" s="58">
        <f>400/2*$E143</f>
        <v>600</v>
      </c>
      <c r="IA143" s="58">
        <f>20/2*$E143</f>
        <v>30</v>
      </c>
      <c r="IB143" s="3"/>
      <c r="IC143" s="3"/>
      <c r="ID143" s="3"/>
    </row>
    <row r="144" spans="1:165" s="3" customFormat="1" ht="12.75" customHeight="1">
      <c r="A144" s="59" t="s">
        <v>418</v>
      </c>
      <c r="B144" s="52"/>
      <c r="C144" s="60">
        <v>3142</v>
      </c>
      <c r="D144" s="61" t="s">
        <v>284</v>
      </c>
      <c r="E144" s="49">
        <v>2</v>
      </c>
      <c r="F144" s="51"/>
      <c r="G144" s="51"/>
      <c r="EH144" s="3">
        <f>250*E144</f>
        <v>500</v>
      </c>
      <c r="ER144" s="69"/>
      <c r="FI144" s="70"/>
    </row>
    <row r="145" spans="1:165" s="3" customFormat="1" ht="12.75" customHeight="1">
      <c r="A145" s="62" t="s">
        <v>418</v>
      </c>
      <c r="B145" s="58"/>
      <c r="C145" s="63">
        <v>3142</v>
      </c>
      <c r="D145" s="64" t="s">
        <v>284</v>
      </c>
      <c r="E145" s="56">
        <v>2</v>
      </c>
      <c r="F145" s="51"/>
      <c r="G145" s="51"/>
      <c r="EH145" s="3">
        <f>250*E145</f>
        <v>500</v>
      </c>
      <c r="ER145" s="69"/>
      <c r="FI145" s="70"/>
    </row>
    <row r="146" spans="1:179" ht="12.75" customHeight="1">
      <c r="A146" s="80" t="s">
        <v>419</v>
      </c>
      <c r="B146" s="80"/>
      <c r="C146" s="86">
        <v>1275</v>
      </c>
      <c r="D146" s="82" t="s">
        <v>248</v>
      </c>
      <c r="E146" s="49">
        <v>2</v>
      </c>
      <c r="F146" s="50">
        <f>70/2*$E146</f>
        <v>70</v>
      </c>
      <c r="G146" s="51"/>
      <c r="AG146" s="83">
        <f>3/2*$E146</f>
        <v>3</v>
      </c>
      <c r="AR146" s="83">
        <f>252/2*$E146</f>
        <v>252</v>
      </c>
      <c r="DV146" s="83">
        <f>10/2*$E146</f>
        <v>10</v>
      </c>
      <c r="DW146" s="3"/>
      <c r="EG146" s="83">
        <f>240/2*E146</f>
        <v>240</v>
      </c>
      <c r="EZ146" s="125">
        <f>(0.59*678+0.25*100)/2*E146</f>
        <v>425.02</v>
      </c>
      <c r="FA146" s="101"/>
      <c r="FS146" s="83">
        <f>0.8/2*E146</f>
        <v>0.8</v>
      </c>
      <c r="FV146" s="83">
        <f>320/2*$E146</f>
        <v>320</v>
      </c>
      <c r="FW146" s="3"/>
    </row>
    <row r="147" spans="1:221" s="93" customFormat="1" ht="12.75" customHeight="1">
      <c r="A147" s="88" t="s">
        <v>420</v>
      </c>
      <c r="B147" s="88"/>
      <c r="C147" s="89">
        <v>990</v>
      </c>
      <c r="D147" s="90" t="s">
        <v>421</v>
      </c>
      <c r="E147" s="91">
        <v>0</v>
      </c>
      <c r="F147" s="92"/>
      <c r="G147" s="92"/>
      <c r="AJ147" s="93">
        <f>48*E147</f>
        <v>0</v>
      </c>
      <c r="AV147" s="93">
        <f>50*E147</f>
        <v>0</v>
      </c>
      <c r="DG147" s="93">
        <f>100*E147</f>
        <v>0</v>
      </c>
      <c r="DX147" s="93">
        <f>120*E147</f>
        <v>0</v>
      </c>
      <c r="DZ147" s="93">
        <f>3*E147</f>
        <v>0</v>
      </c>
      <c r="ER147" s="94"/>
      <c r="FI147" s="95"/>
      <c r="HC147" s="93">
        <f>73.5*E147</f>
        <v>0</v>
      </c>
      <c r="HF147" s="93">
        <f>10*E147</f>
        <v>0</v>
      </c>
      <c r="HI147" s="93">
        <f>100*E147</f>
        <v>0</v>
      </c>
      <c r="HM147" s="93">
        <f>220*E147</f>
        <v>0</v>
      </c>
    </row>
    <row r="148" spans="1:196" s="3" customFormat="1" ht="12.75" customHeight="1">
      <c r="A148" s="65" t="s">
        <v>422</v>
      </c>
      <c r="B148" s="65"/>
      <c r="C148" s="66">
        <v>987</v>
      </c>
      <c r="D148" s="67" t="s">
        <v>335</v>
      </c>
      <c r="E148" s="68">
        <v>1</v>
      </c>
      <c r="F148" s="51"/>
      <c r="G148" s="51"/>
      <c r="DS148" s="3">
        <f>300*$E148</f>
        <v>300</v>
      </c>
      <c r="ER148" s="69"/>
      <c r="FI148" s="70"/>
      <c r="GN148" s="3">
        <f>200*$E148</f>
        <v>200</v>
      </c>
    </row>
    <row r="149" spans="1:221" ht="12.75" customHeight="1">
      <c r="A149" s="80" t="s">
        <v>423</v>
      </c>
      <c r="B149" s="80"/>
      <c r="C149" s="86">
        <v>13748</v>
      </c>
      <c r="D149" s="82" t="s">
        <v>274</v>
      </c>
      <c r="E149" s="49">
        <v>2</v>
      </c>
      <c r="F149" s="77"/>
      <c r="G149" s="77"/>
      <c r="EF149" s="83">
        <f>100*$E149</f>
        <v>200</v>
      </c>
      <c r="HI149" s="3"/>
      <c r="HJ149" s="3"/>
      <c r="HK149" s="3"/>
      <c r="HL149" s="3"/>
      <c r="HM149" s="3"/>
    </row>
    <row r="150" spans="1:221" ht="12.75" customHeight="1">
      <c r="A150" s="62" t="s">
        <v>423</v>
      </c>
      <c r="B150" s="62"/>
      <c r="C150" s="63">
        <v>13748</v>
      </c>
      <c r="D150" s="64" t="s">
        <v>274</v>
      </c>
      <c r="E150" s="56">
        <v>2</v>
      </c>
      <c r="F150" s="77"/>
      <c r="G150" s="77"/>
      <c r="EF150" s="58">
        <f>100*$E150</f>
        <v>200</v>
      </c>
      <c r="HI150" s="3"/>
      <c r="HJ150" s="3"/>
      <c r="HK150" s="3"/>
      <c r="HL150" s="3"/>
      <c r="HM150" s="3"/>
    </row>
    <row r="151" spans="1:210" ht="12.75" customHeight="1">
      <c r="A151" s="65" t="s">
        <v>424</v>
      </c>
      <c r="B151" s="65"/>
      <c r="C151" s="66">
        <v>373</v>
      </c>
      <c r="D151" s="67" t="s">
        <v>305</v>
      </c>
      <c r="E151" s="68">
        <v>2</v>
      </c>
      <c r="F151" s="77"/>
      <c r="G151" s="77"/>
      <c r="DG151" s="3">
        <f>160*$E151</f>
        <v>320</v>
      </c>
      <c r="HB151" s="3">
        <f>640*$E151</f>
        <v>1280</v>
      </c>
    </row>
    <row r="152" spans="1:210" ht="12.75" customHeight="1">
      <c r="A152" s="59" t="s">
        <v>425</v>
      </c>
      <c r="B152" s="59"/>
      <c r="C152" s="60">
        <v>28394</v>
      </c>
      <c r="D152" s="61" t="s">
        <v>426</v>
      </c>
      <c r="E152" s="49">
        <v>0.6000000000000001</v>
      </c>
      <c r="F152" s="77"/>
      <c r="G152" s="77"/>
      <c r="DG152" s="3"/>
      <c r="EI152" s="52">
        <f>400/0.5*E152</f>
        <v>480.00000000000006</v>
      </c>
      <c r="HB152" s="3"/>
    </row>
    <row r="153" spans="1:210" ht="12.75" customHeight="1">
      <c r="A153" s="62" t="s">
        <v>425</v>
      </c>
      <c r="B153" s="62"/>
      <c r="C153" s="63">
        <v>28394</v>
      </c>
      <c r="D153" s="64" t="s">
        <v>426</v>
      </c>
      <c r="E153" s="56">
        <v>0.4</v>
      </c>
      <c r="F153" s="77"/>
      <c r="G153" s="77"/>
      <c r="DG153" s="3"/>
      <c r="EI153" s="58">
        <f>400/0.5*E153</f>
        <v>320</v>
      </c>
      <c r="HB153" s="3"/>
    </row>
    <row r="154" spans="1:143" ht="12.75" customHeight="1">
      <c r="A154" s="80" t="s">
        <v>427</v>
      </c>
      <c r="B154" s="80"/>
      <c r="C154" s="126">
        <v>12779</v>
      </c>
      <c r="D154" s="82" t="s">
        <v>248</v>
      </c>
      <c r="E154" s="49">
        <v>2</v>
      </c>
      <c r="F154" s="77"/>
      <c r="G154" s="77"/>
      <c r="EM154" s="83">
        <f>45*E154</f>
        <v>90</v>
      </c>
    </row>
    <row r="155" spans="1:143" ht="12.75" customHeight="1">
      <c r="A155" s="62" t="s">
        <v>427</v>
      </c>
      <c r="B155" s="62"/>
      <c r="C155" s="63">
        <v>12779</v>
      </c>
      <c r="D155" s="64" t="s">
        <v>248</v>
      </c>
      <c r="E155" s="56">
        <v>2</v>
      </c>
      <c r="F155" s="77"/>
      <c r="G155" s="77"/>
      <c r="EM155" s="58">
        <f>45*E155</f>
        <v>90</v>
      </c>
    </row>
    <row r="156" spans="1:165" s="3" customFormat="1" ht="12.75" customHeight="1">
      <c r="A156" s="65" t="s">
        <v>428</v>
      </c>
      <c r="B156" s="65"/>
      <c r="C156" s="66">
        <v>471</v>
      </c>
      <c r="D156" s="67" t="s">
        <v>429</v>
      </c>
      <c r="E156" s="68">
        <v>2</v>
      </c>
      <c r="F156" s="51"/>
      <c r="G156" s="51"/>
      <c r="EL156" s="3">
        <f>500*E156</f>
        <v>1000</v>
      </c>
      <c r="ER156" s="69"/>
      <c r="FI156" s="70"/>
    </row>
    <row r="157" spans="1:243" s="3" customFormat="1" ht="12.75" customHeight="1">
      <c r="A157" s="59" t="s">
        <v>430</v>
      </c>
      <c r="B157" s="59"/>
      <c r="C157" s="60">
        <v>717</v>
      </c>
      <c r="D157" s="61" t="s">
        <v>284</v>
      </c>
      <c r="E157" s="49">
        <f>1/2</f>
        <v>0.5</v>
      </c>
      <c r="F157" s="51"/>
      <c r="G157" s="51"/>
      <c r="AG157" s="52">
        <f>3/1*E157</f>
        <v>1.5</v>
      </c>
      <c r="AV157" s="52">
        <f>400/1*E157</f>
        <v>200</v>
      </c>
      <c r="BA157" s="52">
        <f>2/1*E157</f>
        <v>1</v>
      </c>
      <c r="DY157" s="52">
        <f>15/1*E157</f>
        <v>7.5</v>
      </c>
      <c r="ED157" s="52">
        <f>250/1*E157</f>
        <v>125</v>
      </c>
      <c r="ER157" s="69"/>
      <c r="FI157" s="70"/>
      <c r="GV157" s="52">
        <f>1.5/1*E157</f>
        <v>0.75</v>
      </c>
      <c r="II157" s="52">
        <f>20/1*E157</f>
        <v>10</v>
      </c>
    </row>
    <row r="158" spans="1:243" s="3" customFormat="1" ht="12.75" customHeight="1">
      <c r="A158" s="62" t="s">
        <v>430</v>
      </c>
      <c r="B158" s="62"/>
      <c r="C158" s="63">
        <v>717</v>
      </c>
      <c r="D158" s="64" t="s">
        <v>284</v>
      </c>
      <c r="E158" s="107">
        <f>1/3</f>
        <v>0.3333333333333333</v>
      </c>
      <c r="F158" s="51"/>
      <c r="G158" s="51"/>
      <c r="AG158" s="58">
        <f>3/1*E158</f>
        <v>1</v>
      </c>
      <c r="AV158" s="100">
        <f>400/1*E158</f>
        <v>133.33333333333331</v>
      </c>
      <c r="AW158" s="69"/>
      <c r="AX158" s="69"/>
      <c r="AY158" s="69"/>
      <c r="AZ158" s="69"/>
      <c r="BA158" s="100">
        <f>2/1*E158</f>
        <v>0.6666666666666666</v>
      </c>
      <c r="DY158" s="58">
        <f>15/1*E158</f>
        <v>5</v>
      </c>
      <c r="ED158" s="100">
        <f>250/1*E158</f>
        <v>83.33333333333333</v>
      </c>
      <c r="EE158" s="69"/>
      <c r="ER158" s="69"/>
      <c r="FI158" s="70"/>
      <c r="GV158" s="58">
        <f>1.5/1*E158</f>
        <v>0.5</v>
      </c>
      <c r="II158" s="100">
        <f>20/1*E158</f>
        <v>6.666666666666666</v>
      </c>
    </row>
    <row r="159" spans="1:243" ht="12.75" customHeight="1">
      <c r="A159" s="59" t="s">
        <v>431</v>
      </c>
      <c r="B159" s="59"/>
      <c r="C159" s="60">
        <v>232</v>
      </c>
      <c r="D159" s="61" t="s">
        <v>432</v>
      </c>
      <c r="E159" s="49">
        <v>0.5</v>
      </c>
      <c r="F159" s="51"/>
      <c r="G159" s="51"/>
      <c r="II159" s="111">
        <f>30*$E159</f>
        <v>15</v>
      </c>
    </row>
    <row r="160" spans="1:243" ht="12.75" customHeight="1">
      <c r="A160" s="62" t="s">
        <v>431</v>
      </c>
      <c r="B160" s="62"/>
      <c r="C160" s="63">
        <v>232</v>
      </c>
      <c r="D160" s="64" t="s">
        <v>432</v>
      </c>
      <c r="E160" s="56">
        <v>1</v>
      </c>
      <c r="F160" s="51"/>
      <c r="G160" s="51"/>
      <c r="II160" s="99">
        <f>30*$E160</f>
        <v>30</v>
      </c>
    </row>
    <row r="161" spans="1:243" s="3" customFormat="1" ht="12.75" customHeight="1">
      <c r="A161" s="65" t="s">
        <v>433</v>
      </c>
      <c r="B161" s="65"/>
      <c r="C161" s="66">
        <v>12846</v>
      </c>
      <c r="D161" s="67" t="s">
        <v>434</v>
      </c>
      <c r="E161" s="68">
        <v>2</v>
      </c>
      <c r="F161" s="51"/>
      <c r="G161" s="51"/>
      <c r="CM161" s="3">
        <f>200*3*$E161</f>
        <v>1200</v>
      </c>
      <c r="ER161" s="69"/>
      <c r="FI161" s="70"/>
      <c r="II161" s="110"/>
    </row>
    <row r="162" spans="1:243" s="3" customFormat="1" ht="12.75" customHeight="1">
      <c r="A162" s="59" t="s">
        <v>435</v>
      </c>
      <c r="B162" s="59"/>
      <c r="C162" s="60">
        <v>26115</v>
      </c>
      <c r="D162" s="61" t="s">
        <v>436</v>
      </c>
      <c r="E162" s="49">
        <v>3</v>
      </c>
      <c r="F162" s="51"/>
      <c r="G162" s="51"/>
      <c r="ER162" s="69"/>
      <c r="FI162" s="70"/>
      <c r="HD162" s="52">
        <f>25*E162</f>
        <v>75</v>
      </c>
      <c r="II162" s="110"/>
    </row>
    <row r="163" spans="1:243" s="3" customFormat="1" ht="12.75" customHeight="1">
      <c r="A163" s="62" t="s">
        <v>435</v>
      </c>
      <c r="B163" s="62"/>
      <c r="C163" s="63">
        <v>26115</v>
      </c>
      <c r="D163" s="64" t="s">
        <v>436</v>
      </c>
      <c r="E163" s="56">
        <v>2</v>
      </c>
      <c r="F163" s="51"/>
      <c r="G163" s="51"/>
      <c r="ER163" s="69"/>
      <c r="FI163" s="70"/>
      <c r="HD163" s="58">
        <f>25*E163</f>
        <v>50</v>
      </c>
      <c r="II163" s="110"/>
    </row>
    <row r="164" spans="1:213" ht="12.75" customHeight="1">
      <c r="A164" s="80" t="s">
        <v>437</v>
      </c>
      <c r="B164" s="80"/>
      <c r="C164" s="86">
        <v>98</v>
      </c>
      <c r="D164" s="82" t="s">
        <v>438</v>
      </c>
      <c r="E164" s="49">
        <v>3</v>
      </c>
      <c r="F164" s="77"/>
      <c r="G164" s="77"/>
      <c r="AJ164" s="52">
        <f>50*E164</f>
        <v>150</v>
      </c>
      <c r="HE164" s="83">
        <f>500*E164</f>
        <v>1500</v>
      </c>
    </row>
    <row r="165" spans="1:213" ht="12.75" customHeight="1">
      <c r="A165" s="62" t="s">
        <v>437</v>
      </c>
      <c r="B165" s="62"/>
      <c r="C165" s="63">
        <v>98</v>
      </c>
      <c r="D165" s="64" t="s">
        <v>438</v>
      </c>
      <c r="E165" s="56">
        <v>2</v>
      </c>
      <c r="F165" s="77"/>
      <c r="G165" s="77"/>
      <c r="AJ165" s="58">
        <f>50*E178</f>
        <v>100</v>
      </c>
      <c r="HE165" s="58">
        <f>500*E178</f>
        <v>1000</v>
      </c>
    </row>
    <row r="166" spans="1:147" ht="12.75" customHeight="1">
      <c r="A166" s="78" t="s">
        <v>439</v>
      </c>
      <c r="B166" s="78"/>
      <c r="C166" s="37">
        <v>923</v>
      </c>
      <c r="D166" s="79" t="s">
        <v>287</v>
      </c>
      <c r="E166" s="68">
        <v>2</v>
      </c>
      <c r="F166" s="77"/>
      <c r="G166" s="77"/>
      <c r="AN166" s="1">
        <f>(58+161)/(75+58+161+36.5)*500*E166</f>
        <v>662.6323751891074</v>
      </c>
      <c r="CW166" s="1">
        <f>75/(75+58+161+36.5)*500*E166</f>
        <v>226.928895612708</v>
      </c>
      <c r="CX166" s="1">
        <f>500*E166</f>
        <v>1000</v>
      </c>
      <c r="EQ166" s="1">
        <f>100*E166</f>
        <v>200</v>
      </c>
    </row>
    <row r="167" spans="1:154" ht="12.75" customHeight="1">
      <c r="A167" s="80" t="s">
        <v>440</v>
      </c>
      <c r="B167" s="80"/>
      <c r="C167" s="86">
        <v>368</v>
      </c>
      <c r="D167" s="82" t="s">
        <v>441</v>
      </c>
      <c r="E167" s="49">
        <v>2</v>
      </c>
      <c r="F167" s="77"/>
      <c r="G167" s="77"/>
      <c r="ET167" s="83">
        <f>4*E167</f>
        <v>8</v>
      </c>
      <c r="EU167" s="83">
        <f>1*E167</f>
        <v>2</v>
      </c>
      <c r="EX167" s="83">
        <f>100*E167</f>
        <v>200</v>
      </c>
    </row>
    <row r="168" spans="1:154" ht="12.75" customHeight="1">
      <c r="A168" s="62" t="s">
        <v>440</v>
      </c>
      <c r="B168" s="62"/>
      <c r="C168" s="63">
        <v>368</v>
      </c>
      <c r="D168" s="64" t="s">
        <v>441</v>
      </c>
      <c r="E168" s="56">
        <v>2</v>
      </c>
      <c r="F168" s="77"/>
      <c r="G168" s="77"/>
      <c r="ET168" s="58">
        <f>4*E168</f>
        <v>8</v>
      </c>
      <c r="EU168" s="58">
        <f>1*E168</f>
        <v>2</v>
      </c>
      <c r="EX168" s="58">
        <f>100*E168</f>
        <v>200</v>
      </c>
    </row>
    <row r="169" spans="1:165" s="93" customFormat="1" ht="12.75" customHeight="1">
      <c r="A169" s="88" t="s">
        <v>442</v>
      </c>
      <c r="B169" s="88"/>
      <c r="C169" s="89">
        <v>561</v>
      </c>
      <c r="D169" s="90" t="s">
        <v>443</v>
      </c>
      <c r="E169" s="91">
        <v>0</v>
      </c>
      <c r="F169" s="92"/>
      <c r="G169" s="92"/>
      <c r="ER169" s="94"/>
      <c r="FB169" s="93">
        <f>10*E169</f>
        <v>0</v>
      </c>
      <c r="FI169" s="95"/>
    </row>
    <row r="170" spans="1:163" s="93" customFormat="1" ht="12.75" customHeight="1">
      <c r="A170" s="88" t="s">
        <v>444</v>
      </c>
      <c r="B170" s="88"/>
      <c r="C170" s="89">
        <v>956</v>
      </c>
      <c r="D170" s="90" t="s">
        <v>335</v>
      </c>
      <c r="E170" s="91">
        <v>0</v>
      </c>
      <c r="F170" s="92"/>
      <c r="G170" s="92"/>
      <c r="EP170" s="94"/>
      <c r="FB170" s="93">
        <f>(400+100)*$E170</f>
        <v>0</v>
      </c>
      <c r="FG170" s="95"/>
    </row>
    <row r="171" spans="1:163" s="93" customFormat="1" ht="12.75" customHeight="1">
      <c r="A171" s="88" t="s">
        <v>444</v>
      </c>
      <c r="B171" s="88"/>
      <c r="C171" s="89">
        <v>956</v>
      </c>
      <c r="D171" s="90" t="s">
        <v>335</v>
      </c>
      <c r="E171" s="91">
        <v>0</v>
      </c>
      <c r="F171" s="92"/>
      <c r="G171" s="92"/>
      <c r="EP171" s="94"/>
      <c r="FB171" s="93">
        <f>(400+100)*$E171</f>
        <v>0</v>
      </c>
      <c r="FG171" s="95"/>
    </row>
    <row r="172" spans="1:160" ht="12.75" customHeight="1">
      <c r="A172" s="59" t="s">
        <v>445</v>
      </c>
      <c r="B172" s="59"/>
      <c r="C172" s="60">
        <v>957</v>
      </c>
      <c r="D172" s="61" t="s">
        <v>426</v>
      </c>
      <c r="E172" s="49">
        <f>3/5*1</f>
        <v>0.6</v>
      </c>
      <c r="F172" s="77"/>
      <c r="G172" s="77"/>
      <c r="FD172" s="52">
        <f>300*$E172</f>
        <v>180</v>
      </c>
    </row>
    <row r="173" spans="1:160" ht="12.75" customHeight="1">
      <c r="A173" s="62" t="s">
        <v>445</v>
      </c>
      <c r="B173" s="62"/>
      <c r="C173" s="63">
        <v>957</v>
      </c>
      <c r="D173" s="64" t="s">
        <v>426</v>
      </c>
      <c r="E173" s="56">
        <f>2/5*1</f>
        <v>0.4</v>
      </c>
      <c r="F173" s="77"/>
      <c r="G173" s="77"/>
      <c r="FD173" s="58">
        <f>300*$E173</f>
        <v>120</v>
      </c>
    </row>
    <row r="174" spans="1:163" ht="12.75" customHeight="1">
      <c r="A174" s="80" t="s">
        <v>446</v>
      </c>
      <c r="B174" s="80"/>
      <c r="C174" s="86">
        <v>302</v>
      </c>
      <c r="D174" s="82" t="s">
        <v>447</v>
      </c>
      <c r="E174" s="87">
        <v>2</v>
      </c>
      <c r="F174" s="77"/>
      <c r="G174" s="77"/>
      <c r="FG174" s="83">
        <f>50*E174</f>
        <v>100</v>
      </c>
    </row>
    <row r="175" spans="1:163" ht="12.75" customHeight="1">
      <c r="A175" s="62" t="s">
        <v>446</v>
      </c>
      <c r="B175" s="62"/>
      <c r="C175" s="63">
        <v>302</v>
      </c>
      <c r="D175" s="64" t="s">
        <v>447</v>
      </c>
      <c r="E175" s="56">
        <v>2</v>
      </c>
      <c r="F175" s="77"/>
      <c r="G175" s="77"/>
      <c r="FG175" s="58">
        <f>50*E175</f>
        <v>100</v>
      </c>
    </row>
    <row r="176" spans="1:7" ht="12.75" customHeight="1">
      <c r="A176" s="62" t="s">
        <v>448</v>
      </c>
      <c r="B176" s="62"/>
      <c r="C176" s="63">
        <v>571</v>
      </c>
      <c r="D176" s="64" t="s">
        <v>449</v>
      </c>
      <c r="E176" s="56">
        <v>1</v>
      </c>
      <c r="F176" s="77"/>
      <c r="G176" s="77"/>
    </row>
    <row r="177" spans="1:7" ht="12.75" customHeight="1">
      <c r="A177" s="80" t="s">
        <v>448</v>
      </c>
      <c r="B177" s="80"/>
      <c r="C177" s="86">
        <v>571</v>
      </c>
      <c r="D177" s="82" t="s">
        <v>449</v>
      </c>
      <c r="E177" s="49">
        <v>1</v>
      </c>
      <c r="F177" s="77"/>
      <c r="G177" s="77"/>
    </row>
    <row r="178" spans="1:71" ht="12.75" customHeight="1">
      <c r="A178" s="65" t="s">
        <v>450</v>
      </c>
      <c r="B178" s="65"/>
      <c r="C178" s="66">
        <v>357</v>
      </c>
      <c r="D178" s="67" t="s">
        <v>438</v>
      </c>
      <c r="E178" s="68">
        <v>2</v>
      </c>
      <c r="F178" s="51"/>
      <c r="G178" s="51"/>
      <c r="K178" s="1">
        <f>1600/2*E178</f>
        <v>1600</v>
      </c>
      <c r="BS178" s="1">
        <f>200/2*E178</f>
        <v>200</v>
      </c>
    </row>
    <row r="179" spans="1:168" s="119" customFormat="1" ht="12.75" customHeight="1">
      <c r="A179" s="114" t="s">
        <v>451</v>
      </c>
      <c r="B179" s="114"/>
      <c r="C179" s="115">
        <v>470</v>
      </c>
      <c r="D179" s="114" t="s">
        <v>452</v>
      </c>
      <c r="E179" s="118">
        <v>0</v>
      </c>
      <c r="F179" s="118"/>
      <c r="G179" s="118"/>
      <c r="ER179" s="120"/>
      <c r="FI179" s="121"/>
      <c r="FL179" s="119">
        <f>500*$E179</f>
        <v>0</v>
      </c>
    </row>
    <row r="180" spans="1:169" ht="12.75" customHeight="1">
      <c r="A180" s="59" t="s">
        <v>453</v>
      </c>
      <c r="B180" s="59"/>
      <c r="C180" s="60">
        <v>1208</v>
      </c>
      <c r="D180" s="61" t="s">
        <v>454</v>
      </c>
      <c r="E180" s="49">
        <v>2</v>
      </c>
      <c r="F180" s="77"/>
      <c r="G180" s="77"/>
      <c r="FM180" s="52">
        <f>210*E180</f>
        <v>420</v>
      </c>
    </row>
    <row r="181" spans="1:169" ht="12.75" customHeight="1">
      <c r="A181" s="62" t="s">
        <v>453</v>
      </c>
      <c r="B181" s="62"/>
      <c r="C181" s="63">
        <v>1208</v>
      </c>
      <c r="D181" s="64" t="s">
        <v>454</v>
      </c>
      <c r="E181" s="56">
        <v>1</v>
      </c>
      <c r="F181" s="77"/>
      <c r="G181" s="77"/>
      <c r="FM181" s="58">
        <f>210*E181</f>
        <v>210</v>
      </c>
    </row>
    <row r="182" spans="1:7" ht="12.75" customHeight="1">
      <c r="A182" s="65" t="s">
        <v>455</v>
      </c>
      <c r="B182" s="65"/>
      <c r="C182" s="66">
        <v>60</v>
      </c>
      <c r="D182" s="65" t="s">
        <v>456</v>
      </c>
      <c r="E182" s="51">
        <v>1</v>
      </c>
      <c r="F182" s="51"/>
      <c r="G182" s="51"/>
    </row>
    <row r="183" spans="1:7" ht="12.75" customHeight="1">
      <c r="A183" s="65" t="s">
        <v>457</v>
      </c>
      <c r="B183" s="65"/>
      <c r="C183" s="66">
        <v>605</v>
      </c>
      <c r="D183" s="65" t="s">
        <v>458</v>
      </c>
      <c r="E183" s="51">
        <v>1</v>
      </c>
      <c r="F183" s="51"/>
      <c r="G183" s="51"/>
    </row>
    <row r="184" spans="1:170" ht="12.75" customHeight="1">
      <c r="A184" s="59" t="s">
        <v>459</v>
      </c>
      <c r="B184" s="59"/>
      <c r="C184" s="60">
        <v>867</v>
      </c>
      <c r="D184" s="59" t="s">
        <v>460</v>
      </c>
      <c r="E184" s="50">
        <v>1</v>
      </c>
      <c r="F184" s="51"/>
      <c r="G184" s="51"/>
      <c r="FL184" s="52">
        <f>250*E184</f>
        <v>250</v>
      </c>
      <c r="FN184" s="52">
        <f>250*E184</f>
        <v>250</v>
      </c>
    </row>
    <row r="185" spans="1:170" ht="12.75" customHeight="1">
      <c r="A185" s="62" t="s">
        <v>459</v>
      </c>
      <c r="B185" s="62"/>
      <c r="C185" s="63">
        <v>867</v>
      </c>
      <c r="D185" s="62" t="s">
        <v>460</v>
      </c>
      <c r="E185" s="57">
        <v>1</v>
      </c>
      <c r="F185" s="51"/>
      <c r="G185" s="51"/>
      <c r="FL185" s="58">
        <f>250*E185</f>
        <v>250</v>
      </c>
      <c r="FN185" s="58">
        <f>250*E185</f>
        <v>250</v>
      </c>
    </row>
    <row r="186" spans="1:170" s="3" customFormat="1" ht="12.75" customHeight="1">
      <c r="A186" s="72" t="s">
        <v>459</v>
      </c>
      <c r="B186" s="72"/>
      <c r="C186" s="73">
        <v>970</v>
      </c>
      <c r="D186" s="74" t="s">
        <v>461</v>
      </c>
      <c r="E186" s="49">
        <v>2</v>
      </c>
      <c r="F186" s="51"/>
      <c r="G186" s="51"/>
      <c r="ER186" s="69"/>
      <c r="FI186" s="70"/>
      <c r="FL186" s="75">
        <f>120*$E186</f>
        <v>240</v>
      </c>
      <c r="FN186" s="75">
        <f>100*$E186</f>
        <v>200</v>
      </c>
    </row>
    <row r="187" spans="1:170" s="3" customFormat="1" ht="12.75" customHeight="1">
      <c r="A187" s="62" t="s">
        <v>459</v>
      </c>
      <c r="B187" s="62"/>
      <c r="C187" s="63">
        <v>970</v>
      </c>
      <c r="D187" s="64" t="s">
        <v>461</v>
      </c>
      <c r="E187" s="56">
        <v>1</v>
      </c>
      <c r="F187" s="51"/>
      <c r="G187" s="51"/>
      <c r="ER187" s="69"/>
      <c r="FI187" s="70"/>
      <c r="FL187" s="58">
        <f>120*$E187</f>
        <v>120</v>
      </c>
      <c r="FN187" s="58">
        <f>100*$E187</f>
        <v>100</v>
      </c>
    </row>
    <row r="188" spans="1:174" ht="12.75" customHeight="1">
      <c r="A188" s="80" t="s">
        <v>462</v>
      </c>
      <c r="B188" s="80"/>
      <c r="C188" s="86">
        <v>143</v>
      </c>
      <c r="D188" s="82" t="s">
        <v>325</v>
      </c>
      <c r="E188" s="87">
        <v>1.2</v>
      </c>
      <c r="F188" s="77"/>
      <c r="G188" s="77"/>
      <c r="FQ188" s="83">
        <f>E188*1000</f>
        <v>1200</v>
      </c>
      <c r="FR188" s="3"/>
    </row>
    <row r="189" spans="1:174" ht="12.75" customHeight="1">
      <c r="A189" s="62" t="s">
        <v>462</v>
      </c>
      <c r="B189" s="62"/>
      <c r="C189" s="63">
        <v>143</v>
      </c>
      <c r="D189" s="64" t="s">
        <v>325</v>
      </c>
      <c r="E189" s="56">
        <v>0.8</v>
      </c>
      <c r="F189" s="77"/>
      <c r="G189" s="77"/>
      <c r="FQ189" s="58">
        <f>E189*1000</f>
        <v>800</v>
      </c>
      <c r="FR189" s="3"/>
    </row>
    <row r="190" spans="1:171" s="3" customFormat="1" ht="12.75" customHeight="1">
      <c r="A190" s="65" t="s">
        <v>463</v>
      </c>
      <c r="B190" s="65"/>
      <c r="C190" s="66">
        <v>889</v>
      </c>
      <c r="D190" s="65" t="s">
        <v>464</v>
      </c>
      <c r="E190" s="68">
        <v>1</v>
      </c>
      <c r="F190" s="51"/>
      <c r="G190" s="51"/>
      <c r="ER190" s="69"/>
      <c r="FI190" s="70"/>
      <c r="FO190" s="3">
        <f>250*$E190</f>
        <v>250</v>
      </c>
    </row>
    <row r="191" spans="1:175" s="3" customFormat="1" ht="12.75" customHeight="1">
      <c r="A191" s="59" t="s">
        <v>465</v>
      </c>
      <c r="B191" s="59"/>
      <c r="C191" s="60">
        <v>685</v>
      </c>
      <c r="D191" s="61" t="s">
        <v>248</v>
      </c>
      <c r="E191" s="49">
        <v>2</v>
      </c>
      <c r="F191" s="51"/>
      <c r="G191" s="51"/>
      <c r="DU191" s="52">
        <f>4*$E191</f>
        <v>8</v>
      </c>
      <c r="ER191" s="69"/>
      <c r="FI191" s="70"/>
      <c r="FS191" s="52">
        <f>100*$E191</f>
        <v>200</v>
      </c>
    </row>
    <row r="192" spans="1:175" s="3" customFormat="1" ht="12.75" customHeight="1">
      <c r="A192" s="62" t="s">
        <v>465</v>
      </c>
      <c r="B192" s="62"/>
      <c r="C192" s="63">
        <v>685</v>
      </c>
      <c r="D192" s="64" t="s">
        <v>248</v>
      </c>
      <c r="E192" s="56">
        <v>1</v>
      </c>
      <c r="F192" s="51"/>
      <c r="G192" s="51"/>
      <c r="DU192" s="58">
        <f>4*$E192</f>
        <v>4</v>
      </c>
      <c r="ER192" s="69"/>
      <c r="FI192" s="70"/>
      <c r="FS192" s="58">
        <f>100*$E192</f>
        <v>100</v>
      </c>
    </row>
    <row r="193" spans="1:176" s="3" customFormat="1" ht="12.75" customHeight="1">
      <c r="A193" s="59" t="s">
        <v>466</v>
      </c>
      <c r="B193" s="59"/>
      <c r="C193" s="60">
        <v>139</v>
      </c>
      <c r="D193" s="61" t="s">
        <v>325</v>
      </c>
      <c r="E193" s="49">
        <f>1.2*1</f>
        <v>1.2</v>
      </c>
      <c r="F193" s="51"/>
      <c r="G193" s="51"/>
      <c r="ER193" s="69"/>
      <c r="FI193" s="70"/>
      <c r="FT193" s="52">
        <f>E193*1000</f>
        <v>1200</v>
      </c>
    </row>
    <row r="194" spans="1:176" s="3" customFormat="1" ht="12.75" customHeight="1">
      <c r="A194" s="62" t="s">
        <v>466</v>
      </c>
      <c r="B194" s="62"/>
      <c r="C194" s="63">
        <v>139</v>
      </c>
      <c r="D194" s="64" t="s">
        <v>325</v>
      </c>
      <c r="E194" s="56">
        <f>0.8*1</f>
        <v>0.8</v>
      </c>
      <c r="F194" s="51"/>
      <c r="G194" s="51"/>
      <c r="ER194" s="69"/>
      <c r="FI194" s="70"/>
      <c r="FT194" s="58">
        <f>E194*1000</f>
        <v>800</v>
      </c>
    </row>
    <row r="195" spans="1:7" ht="12.75" customHeight="1">
      <c r="A195" s="65" t="s">
        <v>467</v>
      </c>
      <c r="B195" s="65"/>
      <c r="C195" s="66">
        <v>573</v>
      </c>
      <c r="D195" s="67" t="s">
        <v>468</v>
      </c>
      <c r="E195" s="68" t="s">
        <v>352</v>
      </c>
      <c r="F195" s="77"/>
      <c r="G195" s="77"/>
    </row>
    <row r="196" spans="1:177" ht="12.75" customHeight="1">
      <c r="A196" s="65" t="s">
        <v>469</v>
      </c>
      <c r="B196" s="65"/>
      <c r="C196" s="66">
        <v>453</v>
      </c>
      <c r="D196" s="67" t="s">
        <v>470</v>
      </c>
      <c r="E196" s="68">
        <v>2</v>
      </c>
      <c r="F196" s="77"/>
      <c r="G196" s="77"/>
      <c r="FU196" s="1">
        <f>400/2*E196</f>
        <v>400</v>
      </c>
    </row>
    <row r="197" spans="1:181" s="3" customFormat="1" ht="12.75" customHeight="1">
      <c r="A197" s="65" t="s">
        <v>471</v>
      </c>
      <c r="B197" s="65"/>
      <c r="C197" s="66">
        <v>567</v>
      </c>
      <c r="D197" s="67" t="s">
        <v>472</v>
      </c>
      <c r="E197" s="68">
        <v>0.5</v>
      </c>
      <c r="F197" s="51"/>
      <c r="G197" s="51"/>
      <c r="ER197" s="69"/>
      <c r="FI197" s="70"/>
      <c r="FY197" s="3">
        <f>200*$E197</f>
        <v>100</v>
      </c>
    </row>
    <row r="198" spans="1:190" ht="12.75" customHeight="1">
      <c r="A198" s="78" t="s">
        <v>473</v>
      </c>
      <c r="B198" s="78"/>
      <c r="C198" s="127" t="s">
        <v>474</v>
      </c>
      <c r="D198" s="79" t="s">
        <v>475</v>
      </c>
      <c r="E198" s="68">
        <v>1</v>
      </c>
      <c r="F198" s="77"/>
      <c r="G198" s="77"/>
      <c r="GD198" s="3">
        <f>266*E198</f>
        <v>266</v>
      </c>
      <c r="GE198" s="3"/>
      <c r="GF198" s="3"/>
      <c r="GG198" s="3">
        <f>60*E198</f>
        <v>60</v>
      </c>
      <c r="GH198" s="3"/>
    </row>
    <row r="199" spans="1:189" ht="12.75" customHeight="1">
      <c r="A199" s="65" t="s">
        <v>476</v>
      </c>
      <c r="B199" s="65"/>
      <c r="C199" s="66">
        <v>702</v>
      </c>
      <c r="D199" s="67" t="s">
        <v>319</v>
      </c>
      <c r="E199" s="68">
        <v>1</v>
      </c>
      <c r="F199" s="77"/>
      <c r="G199" s="77"/>
      <c r="GD199" s="1">
        <f>270*E199</f>
        <v>270</v>
      </c>
      <c r="GE199" s="1">
        <f>40.5*E25</f>
        <v>38.879999999999995</v>
      </c>
      <c r="GG199" s="1">
        <f>720*E199</f>
        <v>720</v>
      </c>
    </row>
    <row r="200" spans="1:241" ht="12.75" customHeight="1">
      <c r="A200" s="80" t="s">
        <v>477</v>
      </c>
      <c r="B200" s="80"/>
      <c r="C200" s="86">
        <v>961</v>
      </c>
      <c r="D200" s="82" t="s">
        <v>248</v>
      </c>
      <c r="E200" s="49">
        <v>2</v>
      </c>
      <c r="F200" s="77"/>
      <c r="G200" s="77"/>
      <c r="CQ200" s="52">
        <f>100/3*E200</f>
        <v>66.66666666666667</v>
      </c>
      <c r="GD200" s="3"/>
      <c r="GE200" s="3"/>
      <c r="GF200" s="3"/>
      <c r="GG200" s="3"/>
      <c r="GH200" s="83">
        <f>2000/3*E200</f>
        <v>1333.3333333333333</v>
      </c>
      <c r="IF200" s="52">
        <f>100/3*$E200</f>
        <v>66.66666666666667</v>
      </c>
      <c r="IG200" s="3"/>
    </row>
    <row r="201" spans="1:241" ht="12.75" customHeight="1">
      <c r="A201" s="62" t="s">
        <v>477</v>
      </c>
      <c r="B201" s="62"/>
      <c r="C201" s="63">
        <v>961</v>
      </c>
      <c r="D201" s="64" t="s">
        <v>248</v>
      </c>
      <c r="E201" s="56">
        <v>1</v>
      </c>
      <c r="F201" s="77"/>
      <c r="G201" s="77"/>
      <c r="CQ201" s="58">
        <f>100/3*E201</f>
        <v>33.333333333333336</v>
      </c>
      <c r="GD201" s="3"/>
      <c r="GE201" s="3"/>
      <c r="GF201" s="3"/>
      <c r="GG201" s="3"/>
      <c r="GH201" s="99">
        <f>2000/3*E201</f>
        <v>666.6666666666666</v>
      </c>
      <c r="IF201" s="58">
        <f>100/3*$E201</f>
        <v>33.333333333333336</v>
      </c>
      <c r="IG201" s="3"/>
    </row>
    <row r="202" spans="1:256" s="3" customFormat="1" ht="12.75" customHeight="1">
      <c r="A202" s="80" t="s">
        <v>478</v>
      </c>
      <c r="B202" s="80"/>
      <c r="C202" s="86">
        <v>304</v>
      </c>
      <c r="D202" s="82" t="s">
        <v>300</v>
      </c>
      <c r="E202" s="87">
        <f>3/5*38/4</f>
        <v>5.7</v>
      </c>
      <c r="F202" s="51"/>
      <c r="G202" s="51"/>
      <c r="J202" s="83">
        <f>735/15*E202</f>
        <v>279.3</v>
      </c>
      <c r="R202" s="83">
        <f>1170/15*E202</f>
        <v>444.6</v>
      </c>
      <c r="U202" s="83">
        <f>1455/15*E202</f>
        <v>552.9</v>
      </c>
      <c r="BF202" s="83">
        <f>240/15*E202</f>
        <v>91.2</v>
      </c>
      <c r="BI202" s="83">
        <f>(12.15+161.55)/15*E202</f>
        <v>66.00600000000001</v>
      </c>
      <c r="CJ202" s="83">
        <f>(1.2+36)/15*E202</f>
        <v>14.136000000000001</v>
      </c>
      <c r="CU202" s="83">
        <f>2055/15*$E202</f>
        <v>780.9</v>
      </c>
      <c r="CW202" s="83">
        <f>675/15*E202</f>
        <v>256.5</v>
      </c>
      <c r="CY202" s="83">
        <f>(5.4+121.95)/15*E202</f>
        <v>48.393</v>
      </c>
      <c r="DC202" s="83">
        <f>390/15*E202</f>
        <v>148.20000000000002</v>
      </c>
      <c r="DL202" s="83">
        <f>640/15*E202</f>
        <v>243.2</v>
      </c>
      <c r="DM202" s="83">
        <f>1020/15*E202</f>
        <v>387.6</v>
      </c>
      <c r="EB202" s="83">
        <f>270/15*E202</f>
        <v>102.60000000000001</v>
      </c>
      <c r="ER202" s="69"/>
      <c r="ES202" s="83">
        <f>624/15*E202</f>
        <v>237.12</v>
      </c>
      <c r="FI202" s="128">
        <f>630/15*E202</f>
        <v>239.4</v>
      </c>
      <c r="GB202" s="83">
        <f>730/15*E202</f>
        <v>277.4</v>
      </c>
      <c r="GP202" s="83">
        <f>654/15*E202</f>
        <v>248.52</v>
      </c>
      <c r="GS202" s="83">
        <f>180/15*E202</f>
        <v>68.4</v>
      </c>
      <c r="GT202" s="83">
        <f>570/15*E202</f>
        <v>216.6</v>
      </c>
      <c r="GU202" s="83">
        <f>765/15*E202</f>
        <v>290.7</v>
      </c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3" customFormat="1" ht="11.25">
      <c r="A203" s="62" t="s">
        <v>478</v>
      </c>
      <c r="B203" s="62"/>
      <c r="C203" s="63">
        <v>304</v>
      </c>
      <c r="D203" s="64" t="s">
        <v>300</v>
      </c>
      <c r="E203" s="56">
        <f>2/5*38/4</f>
        <v>3.8000000000000003</v>
      </c>
      <c r="F203" s="51"/>
      <c r="G203" s="51"/>
      <c r="J203" s="58">
        <f>735/15*E203</f>
        <v>186.20000000000002</v>
      </c>
      <c r="R203" s="58">
        <f>1170/15*E203</f>
        <v>296.40000000000003</v>
      </c>
      <c r="U203" s="58">
        <f>1455/15*E203</f>
        <v>368.6</v>
      </c>
      <c r="BF203" s="58">
        <f>240/15*E203</f>
        <v>60.800000000000004</v>
      </c>
      <c r="BI203" s="58">
        <f>(12.15+161.55)/15*E203</f>
        <v>44.00400000000001</v>
      </c>
      <c r="CJ203" s="58">
        <f>(1.2+36)/15*E203</f>
        <v>9.424000000000001</v>
      </c>
      <c r="CU203" s="58">
        <f>2055/15*$E203</f>
        <v>520.6</v>
      </c>
      <c r="CW203" s="58">
        <f>675/15*E203</f>
        <v>171</v>
      </c>
      <c r="CY203" s="58">
        <f>(5.4+121.95)/15*E203</f>
        <v>32.262</v>
      </c>
      <c r="DC203" s="58">
        <f>390/15*E203</f>
        <v>98.80000000000001</v>
      </c>
      <c r="DL203" s="58">
        <f>640/15*E203</f>
        <v>162.13333333333333</v>
      </c>
      <c r="DM203" s="58">
        <f>1020/15*E203</f>
        <v>258.40000000000003</v>
      </c>
      <c r="EB203" s="58">
        <f>270/15*E203</f>
        <v>68.4</v>
      </c>
      <c r="ER203" s="69"/>
      <c r="ES203" s="58">
        <f>624/15*E203</f>
        <v>158.08</v>
      </c>
      <c r="FI203" s="129">
        <f>630/15*E203</f>
        <v>159.60000000000002</v>
      </c>
      <c r="GB203" s="58">
        <f>730/15*E203</f>
        <v>184.93333333333334</v>
      </c>
      <c r="GP203" s="58">
        <f>654/15*E203</f>
        <v>165.68</v>
      </c>
      <c r="GS203" s="58">
        <f>180/15*E203</f>
        <v>45.6</v>
      </c>
      <c r="GT203" s="58">
        <f>570/15*E203</f>
        <v>144.4</v>
      </c>
      <c r="GU203" s="58">
        <f>765/15*E203</f>
        <v>193.8</v>
      </c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34" ht="11.25">
      <c r="A204" s="65" t="s">
        <v>479</v>
      </c>
      <c r="B204" s="65"/>
      <c r="C204" s="66">
        <v>758</v>
      </c>
      <c r="D204" s="67" t="s">
        <v>480</v>
      </c>
      <c r="E204" s="68">
        <v>1</v>
      </c>
      <c r="F204" s="77"/>
      <c r="G204" s="77"/>
      <c r="BI204" s="1">
        <f>25*$E204</f>
        <v>25</v>
      </c>
      <c r="CJ204" s="1">
        <f>25.8*$E204</f>
        <v>25.8</v>
      </c>
      <c r="CY204" s="1">
        <f>4.7*$E204</f>
        <v>4.7</v>
      </c>
      <c r="GC204" s="3"/>
      <c r="GJ204" s="1">
        <f>435*E204</f>
        <v>435</v>
      </c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43" ht="11.25">
      <c r="A205" s="80" t="s">
        <v>481</v>
      </c>
      <c r="B205" s="80"/>
      <c r="C205" s="86">
        <v>86</v>
      </c>
      <c r="D205" s="82" t="s">
        <v>482</v>
      </c>
      <c r="E205" s="87">
        <f>10/4*0.6</f>
        <v>1.5000000000000002</v>
      </c>
      <c r="F205" s="51"/>
      <c r="G205" s="51"/>
      <c r="H205" s="83">
        <f>400/5*E205</f>
        <v>120.00000000000001</v>
      </c>
      <c r="AD205" s="83">
        <f>500/5*E205</f>
        <v>150.00000000000003</v>
      </c>
      <c r="AJ205" s="52">
        <f>106/5*E205</f>
        <v>31.800000000000004</v>
      </c>
      <c r="BZ205" s="83">
        <f>0.14*500/3.82*$E205</f>
        <v>27.486910994764404</v>
      </c>
      <c r="CA205" s="83">
        <f>0.01*500/3.82*$E205</f>
        <v>1.9633507853403147</v>
      </c>
      <c r="DB205" s="83">
        <f>25/5*E205</f>
        <v>7.500000000000001</v>
      </c>
      <c r="DX205" s="98">
        <f>54/5*E205</f>
        <v>16.200000000000003</v>
      </c>
      <c r="DY205" s="83">
        <f>0.25/5*E205</f>
        <v>0.07500000000000001</v>
      </c>
      <c r="FE205" s="112">
        <f>120/5*E205</f>
        <v>36.00000000000001</v>
      </c>
      <c r="FR205" s="83">
        <f>585/5*E205</f>
        <v>175.50000000000003</v>
      </c>
      <c r="FT205" s="83">
        <f>25/5*E205</f>
        <v>7.500000000000001</v>
      </c>
      <c r="FU205" s="3"/>
      <c r="HM205" s="112">
        <f>2000/5*E205</f>
        <v>600.0000000000001</v>
      </c>
      <c r="II205" s="83">
        <f>5/5*E205</f>
        <v>1.5000000000000002</v>
      </c>
    </row>
    <row r="206" spans="1:243" ht="11.25">
      <c r="A206" s="62" t="s">
        <v>481</v>
      </c>
      <c r="B206" s="62"/>
      <c r="C206" s="63">
        <v>86</v>
      </c>
      <c r="D206" s="64" t="s">
        <v>482</v>
      </c>
      <c r="E206" s="56">
        <f>10/4*0.4</f>
        <v>1</v>
      </c>
      <c r="F206" s="51"/>
      <c r="G206" s="51"/>
      <c r="H206" s="58">
        <f>400/5*E206</f>
        <v>80</v>
      </c>
      <c r="AD206" s="58">
        <f>500/5*E206</f>
        <v>100</v>
      </c>
      <c r="AJ206" s="58">
        <f>106/5*E206</f>
        <v>21.2</v>
      </c>
      <c r="BZ206" s="58">
        <f>0.14*500/3.82*$E206</f>
        <v>18.324607329842934</v>
      </c>
      <c r="CA206" s="58">
        <f>0.01*500/3.82*$E206</f>
        <v>1.3089005235602096</v>
      </c>
      <c r="DB206" s="58">
        <f>25/5*E206</f>
        <v>5</v>
      </c>
      <c r="DX206" s="99">
        <f>54/5*E206</f>
        <v>10.8</v>
      </c>
      <c r="DY206" s="58">
        <f>0.25/5*E206</f>
        <v>0.05</v>
      </c>
      <c r="FE206" s="100">
        <f>120/5*E206</f>
        <v>24</v>
      </c>
      <c r="FR206" s="58">
        <f>585/5*E206</f>
        <v>117</v>
      </c>
      <c r="FT206" s="58">
        <f>25/5*E206</f>
        <v>5</v>
      </c>
      <c r="FU206" s="3"/>
      <c r="HM206" s="100">
        <f>2000/5*E206</f>
        <v>400</v>
      </c>
      <c r="II206" s="58">
        <f>5/5*E206</f>
        <v>1</v>
      </c>
    </row>
    <row r="207" spans="1:221" s="3" customFormat="1" ht="11.25">
      <c r="A207" s="65" t="s">
        <v>483</v>
      </c>
      <c r="B207" s="65"/>
      <c r="C207" s="66">
        <v>1226</v>
      </c>
      <c r="D207" s="67" t="s">
        <v>484</v>
      </c>
      <c r="E207" s="68">
        <v>1</v>
      </c>
      <c r="F207" s="51"/>
      <c r="G207" s="51"/>
      <c r="AZ207" s="3">
        <f>100*E207</f>
        <v>100</v>
      </c>
      <c r="DX207" s="110"/>
      <c r="ER207" s="69"/>
      <c r="FE207" s="69"/>
      <c r="FI207" s="70"/>
      <c r="HM207" s="69"/>
    </row>
    <row r="208" spans="1:221" s="3" customFormat="1" ht="11.25">
      <c r="A208" s="65" t="s">
        <v>485</v>
      </c>
      <c r="B208" s="65"/>
      <c r="C208" s="66">
        <v>1287</v>
      </c>
      <c r="D208" s="67" t="s">
        <v>486</v>
      </c>
      <c r="E208" s="68">
        <v>1</v>
      </c>
      <c r="F208" s="51"/>
      <c r="G208" s="51"/>
      <c r="AO208" s="3">
        <f>500*$E208</f>
        <v>500</v>
      </c>
      <c r="DU208" s="3">
        <f>4*$E208</f>
        <v>4</v>
      </c>
      <c r="DX208" s="110"/>
      <c r="ER208" s="69"/>
      <c r="FE208" s="69"/>
      <c r="FI208" s="70"/>
      <c r="GM208" s="3">
        <f>0*$E208</f>
        <v>0</v>
      </c>
      <c r="GY208" s="3">
        <f>50*$E208</f>
        <v>50</v>
      </c>
      <c r="GZ208" s="3">
        <f>50*$E208</f>
        <v>50</v>
      </c>
      <c r="HM208" s="69"/>
    </row>
    <row r="209" spans="1:122" ht="12.75" customHeight="1">
      <c r="A209" s="65" t="s">
        <v>487</v>
      </c>
      <c r="B209" s="65"/>
      <c r="C209" s="66">
        <v>950</v>
      </c>
      <c r="D209" s="67" t="s">
        <v>441</v>
      </c>
      <c r="E209" s="68">
        <v>1</v>
      </c>
      <c r="F209" s="77"/>
      <c r="G209" s="77"/>
      <c r="AZ209" s="3">
        <f>100*E209</f>
        <v>100</v>
      </c>
      <c r="DR209" s="1">
        <f>0.9*111*E209</f>
        <v>99.9</v>
      </c>
    </row>
    <row r="210" spans="1:179" ht="12.75" customHeight="1">
      <c r="A210" s="65" t="s">
        <v>488</v>
      </c>
      <c r="B210" s="65"/>
      <c r="C210" s="66">
        <v>4118</v>
      </c>
      <c r="D210" s="67" t="s">
        <v>489</v>
      </c>
      <c r="E210" s="68">
        <v>1</v>
      </c>
      <c r="F210" s="77"/>
      <c r="G210" s="77"/>
      <c r="AK210" s="3">
        <f>25*E210</f>
        <v>25</v>
      </c>
      <c r="AZ210" s="3"/>
      <c r="FS210" s="1">
        <f>25*E210</f>
        <v>25</v>
      </c>
      <c r="FW210" s="1">
        <f>(350+100)*E210</f>
        <v>450</v>
      </c>
    </row>
    <row r="211" spans="1:224" ht="22.5">
      <c r="A211" s="80" t="s">
        <v>490</v>
      </c>
      <c r="B211" s="80"/>
      <c r="C211" s="86">
        <v>902</v>
      </c>
      <c r="D211" s="82" t="s">
        <v>491</v>
      </c>
      <c r="E211" s="49">
        <v>4</v>
      </c>
      <c r="F211" s="77"/>
      <c r="G211" s="77"/>
      <c r="AZ211" s="3"/>
      <c r="BL211" s="83">
        <f>500/2*$E211</f>
        <v>1000</v>
      </c>
      <c r="BW211" s="83">
        <f>700/2*$E211</f>
        <v>1400</v>
      </c>
      <c r="EK211" s="83">
        <f>300/2*E211</f>
        <v>600</v>
      </c>
      <c r="FC211" s="75">
        <f>300*0.08/2*$E211</f>
        <v>48</v>
      </c>
      <c r="FD211" s="3"/>
      <c r="FS211" s="52">
        <f>25/2*E211</f>
        <v>50</v>
      </c>
      <c r="GC211" s="83">
        <f>10/2*$E211</f>
        <v>20</v>
      </c>
      <c r="HP211" s="130"/>
    </row>
    <row r="212" spans="1:185" ht="22.5">
      <c r="A212" s="62" t="s">
        <v>490</v>
      </c>
      <c r="B212" s="62"/>
      <c r="C212" s="63">
        <v>902</v>
      </c>
      <c r="D212" s="64" t="s">
        <v>491</v>
      </c>
      <c r="E212" s="56">
        <v>3</v>
      </c>
      <c r="F212" s="77"/>
      <c r="G212" s="77"/>
      <c r="AZ212" s="3"/>
      <c r="BL212" s="58">
        <f>500/2*$E212</f>
        <v>750</v>
      </c>
      <c r="BW212" s="58">
        <f>700/2*$E212</f>
        <v>1050</v>
      </c>
      <c r="EK212" s="58">
        <f>300/2*E212</f>
        <v>450</v>
      </c>
      <c r="FC212" s="58">
        <f>300*0.08/2*$E212</f>
        <v>36</v>
      </c>
      <c r="FD212" s="3"/>
      <c r="FS212" s="58">
        <f>25/2*E212</f>
        <v>37.5</v>
      </c>
      <c r="GC212" s="58">
        <f>10/2*$E212</f>
        <v>15</v>
      </c>
    </row>
    <row r="213" spans="1:234" ht="12" customHeight="1">
      <c r="A213" s="65" t="s">
        <v>492</v>
      </c>
      <c r="B213" s="65"/>
      <c r="C213" s="66">
        <v>980</v>
      </c>
      <c r="D213" s="67" t="s">
        <v>493</v>
      </c>
      <c r="E213" s="68">
        <v>1</v>
      </c>
      <c r="F213" s="77"/>
      <c r="G213" s="77"/>
      <c r="O213" s="97"/>
      <c r="P213" s="97"/>
      <c r="Q213" s="97"/>
      <c r="U213" s="97"/>
      <c r="V213" s="97"/>
      <c r="W213" s="97"/>
      <c r="X213" s="97"/>
      <c r="Y213" s="97"/>
      <c r="Z213" s="97"/>
      <c r="AJ213" s="110">
        <f>10*$E213</f>
        <v>10</v>
      </c>
      <c r="AK213" s="110"/>
      <c r="AT213" s="110">
        <f>100*$E213</f>
        <v>100</v>
      </c>
      <c r="AU213" s="97"/>
      <c r="CB213" s="110">
        <f>800*$E213</f>
        <v>800</v>
      </c>
      <c r="CC213" s="110"/>
      <c r="CD213" s="97"/>
      <c r="CE213" s="97"/>
      <c r="CF213" s="97"/>
      <c r="CL213" s="110">
        <f>120*$E213</f>
        <v>120</v>
      </c>
      <c r="DT213" s="110">
        <f>2*$E213</f>
        <v>2</v>
      </c>
      <c r="DU213" s="110"/>
      <c r="DV213" s="110">
        <f>10*$E213</f>
        <v>10</v>
      </c>
      <c r="DW213" s="110"/>
      <c r="FH213" s="97"/>
      <c r="FX213" s="110">
        <f>25*$E213</f>
        <v>25</v>
      </c>
      <c r="FY213" s="3">
        <f>75*$E213</f>
        <v>75</v>
      </c>
      <c r="FZ213" s="3">
        <f>50*$E213</f>
        <v>50</v>
      </c>
      <c r="GA213" s="3">
        <f>50*$E213</f>
        <v>50</v>
      </c>
      <c r="GC213" s="3">
        <f>20*E213</f>
        <v>20</v>
      </c>
      <c r="HI213" s="3">
        <f>300*$E213</f>
        <v>300</v>
      </c>
      <c r="HJ213" s="3"/>
      <c r="HK213" s="3"/>
      <c r="HL213" s="3"/>
      <c r="HM213" s="3">
        <f>90*$E213</f>
        <v>90</v>
      </c>
      <c r="HN213" s="110">
        <f>50*$E213</f>
        <v>50</v>
      </c>
      <c r="HO213" s="3"/>
      <c r="HP213" s="3"/>
      <c r="HQ213" s="3">
        <f>((35-9-18)/2+18)*$E213</f>
        <v>22</v>
      </c>
      <c r="HR213" s="3">
        <f>((244.2-215)/2+215)*$E213</f>
        <v>229.6</v>
      </c>
      <c r="HS213" s="3">
        <f>((125.7-89.8)/2+89.8)*$E213</f>
        <v>107.75</v>
      </c>
      <c r="HT213" s="3">
        <f>((7.2-0)/2+0)*$E213</f>
        <v>3.6</v>
      </c>
      <c r="HU213" s="3"/>
      <c r="HV213" s="3"/>
      <c r="HW213" s="3"/>
      <c r="HX213" s="3"/>
      <c r="HY213" s="3">
        <f>9*$E213</f>
        <v>9</v>
      </c>
      <c r="HZ213" s="3">
        <f>1*$E213</f>
        <v>1</v>
      </c>
    </row>
    <row r="214" spans="1:243" ht="12" customHeight="1">
      <c r="A214" s="131" t="s">
        <v>494</v>
      </c>
      <c r="B214" s="132"/>
      <c r="C214" s="60">
        <v>615</v>
      </c>
      <c r="D214" s="61" t="s">
        <v>252</v>
      </c>
      <c r="E214" s="49">
        <v>1</v>
      </c>
      <c r="F214" s="77"/>
      <c r="G214" s="77"/>
      <c r="O214" s="97"/>
      <c r="P214" s="97"/>
      <c r="Q214" s="97"/>
      <c r="U214" s="97"/>
      <c r="V214" s="97"/>
      <c r="W214" s="97"/>
      <c r="X214" s="97"/>
      <c r="Y214" s="97"/>
      <c r="Z214" s="97"/>
      <c r="AJ214" s="110"/>
      <c r="AK214" s="110"/>
      <c r="AT214" s="110"/>
      <c r="AU214" s="97"/>
      <c r="AW214" s="52">
        <f>750/2*E214</f>
        <v>375</v>
      </c>
      <c r="CB214" s="110"/>
      <c r="CC214" s="110"/>
      <c r="CD214" s="97"/>
      <c r="CE214" s="97"/>
      <c r="CF214" s="97"/>
      <c r="CK214" s="52">
        <f>25/2*$E214</f>
        <v>12.5</v>
      </c>
      <c r="CL214" s="110"/>
      <c r="DT214" s="110"/>
      <c r="DU214" s="110"/>
      <c r="DV214" s="110"/>
      <c r="DW214" s="111">
        <f>160/2*E214</f>
        <v>80</v>
      </c>
      <c r="EE214" s="52">
        <f>425/2*E214</f>
        <v>212.5</v>
      </c>
      <c r="EF214" s="3"/>
      <c r="EG214" s="52">
        <f>141/2*$E214</f>
        <v>70.5</v>
      </c>
      <c r="ER214" s="133">
        <f>7.5/2*$E214</f>
        <v>3.75</v>
      </c>
      <c r="FH214" s="97"/>
      <c r="FX214" s="110"/>
      <c r="FY214" s="3"/>
      <c r="FZ214" s="3"/>
      <c r="GA214" s="3"/>
      <c r="GC214" s="3"/>
      <c r="HI214" s="3"/>
      <c r="HJ214" s="3"/>
      <c r="HK214" s="3"/>
      <c r="HL214" s="3"/>
      <c r="HM214" s="3"/>
      <c r="HN214" s="110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I214" s="52">
        <f>7.5/2*$E214</f>
        <v>3.75</v>
      </c>
    </row>
    <row r="215" spans="1:222" s="3" customFormat="1" ht="12" customHeight="1">
      <c r="A215" s="134" t="s">
        <v>495</v>
      </c>
      <c r="B215" s="104"/>
      <c r="C215" s="66">
        <v>994</v>
      </c>
      <c r="D215" s="67" t="s">
        <v>335</v>
      </c>
      <c r="E215" s="68">
        <v>1</v>
      </c>
      <c r="F215" s="51"/>
      <c r="G215" s="51"/>
      <c r="O215" s="110"/>
      <c r="P215" s="110">
        <f>0.15*115*E215</f>
        <v>17.25</v>
      </c>
      <c r="Q215" s="110"/>
      <c r="U215" s="110"/>
      <c r="V215" s="110"/>
      <c r="W215" s="110"/>
      <c r="X215" s="110"/>
      <c r="Y215" s="110"/>
      <c r="Z215" s="110"/>
      <c r="AJ215" s="110"/>
      <c r="AK215" s="110"/>
      <c r="AT215" s="110"/>
      <c r="AU215" s="110"/>
      <c r="AY215" s="3">
        <f>224*E215</f>
        <v>224</v>
      </c>
      <c r="BX215" s="3">
        <f>0.45*100*E215</f>
        <v>45</v>
      </c>
      <c r="CB215" s="110"/>
      <c r="CC215" s="110"/>
      <c r="CD215" s="110"/>
      <c r="CE215" s="110"/>
      <c r="CF215" s="110"/>
      <c r="CL215" s="110"/>
      <c r="DT215" s="110"/>
      <c r="DU215" s="110"/>
      <c r="DV215" s="110"/>
      <c r="DW215" s="110"/>
      <c r="ER215" s="69"/>
      <c r="FC215" s="3">
        <f>(0.45*224+0.3*200+0.98*100)*E215</f>
        <v>258.8</v>
      </c>
      <c r="FH215" s="110"/>
      <c r="FI215" s="70"/>
      <c r="FX215" s="110"/>
      <c r="HN215" s="110"/>
    </row>
    <row r="216" spans="1:242" ht="22.5">
      <c r="A216" s="65" t="s">
        <v>496</v>
      </c>
      <c r="B216" s="65"/>
      <c r="C216" s="66">
        <v>976</v>
      </c>
      <c r="D216" s="67" t="s">
        <v>345</v>
      </c>
      <c r="E216" s="68">
        <v>1</v>
      </c>
      <c r="F216" s="51"/>
      <c r="G216" s="51"/>
      <c r="DT216" s="1">
        <f>10*E216</f>
        <v>10</v>
      </c>
      <c r="GC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H216" s="1">
        <f>3.75*1000*E216</f>
        <v>3750</v>
      </c>
    </row>
    <row r="217" spans="1:195" s="3" customFormat="1" ht="11.25">
      <c r="A217" s="65" t="s">
        <v>497</v>
      </c>
      <c r="B217" s="65"/>
      <c r="C217" s="66">
        <v>199</v>
      </c>
      <c r="D217" s="67" t="s">
        <v>498</v>
      </c>
      <c r="E217" s="68">
        <v>3</v>
      </c>
      <c r="F217" s="51"/>
      <c r="G217" s="51"/>
      <c r="ER217" s="69"/>
      <c r="FI217" s="70"/>
      <c r="GM217" s="3">
        <f>1000*E217</f>
        <v>3000</v>
      </c>
    </row>
    <row r="218" spans="1:197" s="3" customFormat="1" ht="12.75">
      <c r="A218" s="135" t="s">
        <v>499</v>
      </c>
      <c r="B218" s="136"/>
      <c r="C218" s="137">
        <v>115</v>
      </c>
      <c r="D218" s="82" t="s">
        <v>321</v>
      </c>
      <c r="E218" s="102">
        <v>0.084</v>
      </c>
      <c r="F218" s="51"/>
      <c r="G218" s="51"/>
      <c r="ER218" s="69"/>
      <c r="FI218" s="70"/>
      <c r="GO218" s="83">
        <f>1000*E218</f>
        <v>84</v>
      </c>
    </row>
    <row r="219" spans="1:197" s="3" customFormat="1" ht="12.75">
      <c r="A219" s="138" t="s">
        <v>499</v>
      </c>
      <c r="B219" s="139"/>
      <c r="C219" s="140">
        <v>115</v>
      </c>
      <c r="D219" s="64" t="s">
        <v>321</v>
      </c>
      <c r="E219" s="103">
        <v>0.056</v>
      </c>
      <c r="F219" s="51"/>
      <c r="G219" s="51"/>
      <c r="ER219" s="69"/>
      <c r="FI219" s="70"/>
      <c r="GO219" s="58">
        <f>1000*E219</f>
        <v>56</v>
      </c>
    </row>
    <row r="220" spans="1:234" ht="22.5">
      <c r="A220" s="141" t="s">
        <v>500</v>
      </c>
      <c r="B220" s="141"/>
      <c r="C220" s="37">
        <v>359</v>
      </c>
      <c r="D220" s="79" t="s">
        <v>501</v>
      </c>
      <c r="E220" s="68">
        <v>4</v>
      </c>
      <c r="F220" s="77"/>
      <c r="G220" s="77"/>
      <c r="GC220" s="3"/>
      <c r="GR220" s="1">
        <f>1000/2*E220</f>
        <v>2000</v>
      </c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1.25">
      <c r="A221" s="67" t="s">
        <v>502</v>
      </c>
      <c r="B221" s="65"/>
      <c r="C221" s="66">
        <v>781</v>
      </c>
      <c r="D221" s="142" t="s">
        <v>345</v>
      </c>
      <c r="E221" s="68">
        <v>2</v>
      </c>
      <c r="F221" s="77"/>
      <c r="G221" s="77"/>
      <c r="GC221" s="3">
        <f>20*$E221</f>
        <v>40</v>
      </c>
      <c r="HI221" s="3"/>
      <c r="HJ221" s="3"/>
      <c r="HK221" s="3"/>
      <c r="HL221" s="3"/>
      <c r="HM221" s="3"/>
      <c r="HN221" s="3"/>
      <c r="HO221" s="3"/>
      <c r="HP221" s="3"/>
      <c r="HQ221" s="3">
        <f>31*$E221</f>
        <v>62</v>
      </c>
      <c r="HR221" s="3"/>
      <c r="HS221" s="3"/>
      <c r="HT221" s="3"/>
      <c r="HU221" s="3">
        <f>46*E221</f>
        <v>92</v>
      </c>
      <c r="HV221" s="3">
        <f>12*$E221</f>
        <v>24</v>
      </c>
      <c r="HW221" s="3">
        <f>25*E221</f>
        <v>50</v>
      </c>
      <c r="HX221" s="3">
        <f>2*$E221</f>
        <v>4</v>
      </c>
      <c r="HY221" s="3"/>
      <c r="HZ221" s="3"/>
    </row>
    <row r="222" spans="1:199" s="3" customFormat="1" ht="12.75" customHeight="1">
      <c r="A222" s="59" t="s">
        <v>503</v>
      </c>
      <c r="B222" s="59"/>
      <c r="C222" s="60">
        <v>20803</v>
      </c>
      <c r="D222" s="61" t="s">
        <v>504</v>
      </c>
      <c r="E222" s="49">
        <v>4</v>
      </c>
      <c r="F222" s="51"/>
      <c r="G222" s="51"/>
      <c r="N222" s="3">
        <f>100*E222</f>
        <v>400</v>
      </c>
      <c r="T222" s="3">
        <f>100*E222</f>
        <v>400</v>
      </c>
      <c r="ER222" s="69"/>
      <c r="FI222" s="70"/>
      <c r="FO222" s="52">
        <f>50*E222</f>
        <v>200</v>
      </c>
      <c r="GQ222" s="52">
        <f>500*E222</f>
        <v>2000</v>
      </c>
    </row>
    <row r="223" spans="1:165" s="3" customFormat="1" ht="12.75" customHeight="1">
      <c r="A223" s="65" t="s">
        <v>505</v>
      </c>
      <c r="B223" s="65"/>
      <c r="C223" s="66">
        <v>866</v>
      </c>
      <c r="D223" s="65" t="s">
        <v>506</v>
      </c>
      <c r="E223" s="68">
        <v>1</v>
      </c>
      <c r="F223" s="51"/>
      <c r="G223" s="51"/>
      <c r="DP223" s="3">
        <f>500*E223</f>
        <v>500</v>
      </c>
      <c r="ER223" s="69"/>
      <c r="FI223" s="70"/>
    </row>
    <row r="224" spans="1:204" ht="11.25">
      <c r="A224" s="72" t="s">
        <v>507</v>
      </c>
      <c r="B224" s="72"/>
      <c r="C224" s="73">
        <v>213</v>
      </c>
      <c r="D224" s="74" t="s">
        <v>508</v>
      </c>
      <c r="E224" s="49">
        <v>6</v>
      </c>
      <c r="F224" s="77"/>
      <c r="G224" s="77"/>
      <c r="GV224" s="75">
        <f>1.5*E224</f>
        <v>9</v>
      </c>
    </row>
    <row r="225" spans="1:204" ht="11.25">
      <c r="A225" s="62" t="s">
        <v>507</v>
      </c>
      <c r="B225" s="62"/>
      <c r="C225" s="63">
        <v>213</v>
      </c>
      <c r="D225" s="64" t="s">
        <v>508</v>
      </c>
      <c r="E225" s="56">
        <v>4</v>
      </c>
      <c r="F225" s="77"/>
      <c r="G225" s="77"/>
      <c r="GV225" s="58">
        <f>1.5*E225</f>
        <v>6</v>
      </c>
    </row>
    <row r="226" spans="1:204" ht="11.25">
      <c r="A226" s="59" t="s">
        <v>509</v>
      </c>
      <c r="B226" s="59"/>
      <c r="C226" s="60">
        <v>408</v>
      </c>
      <c r="D226" s="61" t="s">
        <v>280</v>
      </c>
      <c r="E226" s="49">
        <v>2</v>
      </c>
      <c r="F226" s="77"/>
      <c r="G226" s="77"/>
      <c r="DD226" s="52">
        <f>250*E226</f>
        <v>500</v>
      </c>
      <c r="GV226" s="58"/>
    </row>
    <row r="227" spans="1:205" s="3" customFormat="1" ht="11.25">
      <c r="A227" s="65" t="s">
        <v>510</v>
      </c>
      <c r="B227" s="65"/>
      <c r="C227" s="66">
        <v>427</v>
      </c>
      <c r="D227" s="67" t="s">
        <v>511</v>
      </c>
      <c r="E227" s="68">
        <v>1</v>
      </c>
      <c r="F227" s="51"/>
      <c r="G227" s="51"/>
      <c r="ER227" s="69"/>
      <c r="FI227" s="70"/>
      <c r="GW227" s="3">
        <f>5*E227</f>
        <v>5</v>
      </c>
    </row>
    <row r="228" spans="1:256" ht="22.5">
      <c r="A228" s="59" t="s">
        <v>512</v>
      </c>
      <c r="B228" s="59"/>
      <c r="C228" s="60">
        <v>251</v>
      </c>
      <c r="D228" s="61" t="s">
        <v>513</v>
      </c>
      <c r="E228" s="49">
        <v>3</v>
      </c>
      <c r="F228" s="77"/>
      <c r="G228" s="77"/>
      <c r="HO228" s="52">
        <f>1000*E228</f>
        <v>3000</v>
      </c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22.5">
      <c r="A229" s="62" t="s">
        <v>512</v>
      </c>
      <c r="B229" s="62"/>
      <c r="C229" s="63">
        <v>251</v>
      </c>
      <c r="D229" s="64" t="s">
        <v>513</v>
      </c>
      <c r="E229" s="56">
        <v>2</v>
      </c>
      <c r="F229" s="77"/>
      <c r="G229" s="77"/>
      <c r="HO229" s="58">
        <f>1000*E229</f>
        <v>2000</v>
      </c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41" ht="22.5">
      <c r="A230" s="80" t="s">
        <v>514</v>
      </c>
      <c r="B230" s="80"/>
      <c r="C230" s="86">
        <v>509</v>
      </c>
      <c r="D230" s="82" t="s">
        <v>515</v>
      </c>
      <c r="E230" s="87">
        <f>3/5*160/4</f>
        <v>24</v>
      </c>
      <c r="F230" s="51"/>
      <c r="G230" s="51"/>
      <c r="H230" s="3"/>
      <c r="I230" s="3"/>
      <c r="J230" s="83">
        <f>0.506/100*$E230*1000</f>
        <v>121.44000000000001</v>
      </c>
      <c r="K230" s="3"/>
      <c r="Q230" s="98">
        <f>0.0475/20*E230*1000</f>
        <v>56.99999999999999</v>
      </c>
      <c r="R230" s="98">
        <f>0.327/100*$E230*1000</f>
        <v>78.48</v>
      </c>
      <c r="U230" s="98">
        <f>1.149/100*$E230*1000</f>
        <v>275.76</v>
      </c>
      <c r="AJ230" s="52">
        <f>60*E230/20</f>
        <v>72</v>
      </c>
      <c r="AL230" s="3"/>
      <c r="AM230" s="3"/>
      <c r="AN230" s="3"/>
      <c r="BF230" s="83">
        <f>0.211/100*2*$E230*1000</f>
        <v>101.28</v>
      </c>
      <c r="CU230" s="83">
        <f>2.096/100*$E230*1000</f>
        <v>503.0399999999999</v>
      </c>
      <c r="CW230" s="83">
        <f>0.211/100*$E230*1000</f>
        <v>50.64</v>
      </c>
      <c r="CX230" s="3"/>
      <c r="DC230" s="83">
        <f>0.23/100*$E230*1000</f>
        <v>55.199999999999996</v>
      </c>
      <c r="DL230" s="83">
        <f>0.581/100*$E230*1000</f>
        <v>139.43999999999997</v>
      </c>
      <c r="DM230" s="83">
        <f>1.116/100*$E230*1000</f>
        <v>267.84000000000003</v>
      </c>
      <c r="DN230" s="83">
        <f>1.008/100*$E230*1000</f>
        <v>241.92000000000002</v>
      </c>
      <c r="DO230" s="3"/>
      <c r="DP230" s="3"/>
      <c r="EB230" s="83">
        <f>0.221/100*$E230*1000</f>
        <v>53.040000000000006</v>
      </c>
      <c r="ES230" s="83">
        <f>0.386/100*$E230*1000</f>
        <v>92.64</v>
      </c>
      <c r="EY230" s="83">
        <f>80*E230/20</f>
        <v>96</v>
      </c>
      <c r="EZ230" s="3"/>
      <c r="FA230" s="3"/>
      <c r="FI230" s="128">
        <f>0.699/100*$E230*1000</f>
        <v>167.76000000000002</v>
      </c>
      <c r="GB230" s="83">
        <f>0.541/100*$E230*1000</f>
        <v>129.84</v>
      </c>
      <c r="GI230" s="83">
        <f>81*E230/20</f>
        <v>97.2</v>
      </c>
      <c r="GP230" s="83">
        <f>0.59/100*$E230*1000</f>
        <v>141.6</v>
      </c>
      <c r="GS230" s="83">
        <f>0.241/100*E230*1000</f>
        <v>57.839999999999996</v>
      </c>
      <c r="GT230" s="83">
        <f>0.3/100*$E230*1000</f>
        <v>72.00000000000001</v>
      </c>
      <c r="GU230" s="83">
        <f>0.579/100*$E230*1000</f>
        <v>138.96</v>
      </c>
      <c r="IE230" s="83">
        <f>19800/20*E230</f>
        <v>23760</v>
      </c>
      <c r="IF230" s="3"/>
      <c r="IG230" s="3"/>
    </row>
    <row r="231" spans="1:241" ht="22.5">
      <c r="A231" s="62" t="s">
        <v>514</v>
      </c>
      <c r="B231" s="62"/>
      <c r="C231" s="63">
        <v>509</v>
      </c>
      <c r="D231" s="64" t="s">
        <v>515</v>
      </c>
      <c r="E231" s="56">
        <f>2/5*160/4</f>
        <v>16</v>
      </c>
      <c r="F231" s="77"/>
      <c r="G231" s="77"/>
      <c r="J231" s="58">
        <f>0.506/100*$E231*1000</f>
        <v>80.96000000000001</v>
      </c>
      <c r="Q231" s="99">
        <f>0.0475/20*E231*1000</f>
        <v>38</v>
      </c>
      <c r="R231" s="99">
        <f>0.327/100*$E231*1000</f>
        <v>52.32000000000001</v>
      </c>
      <c r="U231" s="99">
        <f>1.149/100*$E231*1000</f>
        <v>183.84</v>
      </c>
      <c r="AJ231" s="58">
        <f>60*E231/20</f>
        <v>48</v>
      </c>
      <c r="AN231" s="3"/>
      <c r="BF231" s="58">
        <f>0.211/100*2*$E231*1000</f>
        <v>67.52</v>
      </c>
      <c r="CU231" s="58">
        <f>2.096/100*$E231*1000</f>
        <v>335.36</v>
      </c>
      <c r="CW231" s="58">
        <f>0.211/100*$E231*1000</f>
        <v>33.76</v>
      </c>
      <c r="CX231" s="3"/>
      <c r="DC231" s="58">
        <f>0.23/100*$E231*1000</f>
        <v>36.8</v>
      </c>
      <c r="DL231" s="58">
        <f>0.581/100*$E231*1000</f>
        <v>92.96</v>
      </c>
      <c r="DM231" s="58">
        <f>1.116/100*$E231*1000</f>
        <v>178.56000000000003</v>
      </c>
      <c r="DN231" s="58">
        <f>1.008/100*$E231*1000</f>
        <v>161.28</v>
      </c>
      <c r="DO231" s="3"/>
      <c r="DP231" s="3"/>
      <c r="EB231" s="58">
        <f>0.221/100*$E231*1000</f>
        <v>35.36</v>
      </c>
      <c r="ES231" s="58">
        <f>0.386/100*$E231*1000</f>
        <v>61.760000000000005</v>
      </c>
      <c r="EY231" s="58">
        <f>80*E231/20</f>
        <v>64</v>
      </c>
      <c r="EZ231" s="3"/>
      <c r="FA231" s="3"/>
      <c r="FI231" s="129">
        <f>0.699/100*$E231*1000</f>
        <v>111.84</v>
      </c>
      <c r="GB231" s="58">
        <f>0.541/100*$E231*1000</f>
        <v>86.56000000000002</v>
      </c>
      <c r="GI231" s="58">
        <f>81*E231/20</f>
        <v>64.8</v>
      </c>
      <c r="GP231" s="58">
        <f>0.59/100*$E231*1000</f>
        <v>94.39999999999999</v>
      </c>
      <c r="GS231" s="58">
        <f>0.241/100*E231*1000</f>
        <v>38.559999999999995</v>
      </c>
      <c r="GT231" s="58">
        <f>0.3/100*$E231*1000</f>
        <v>48.00000000000001</v>
      </c>
      <c r="GU231" s="58">
        <f>0.579/100*$E231*1000</f>
        <v>92.64</v>
      </c>
      <c r="IE231" s="58">
        <f>19800/20*E231</f>
        <v>15840</v>
      </c>
      <c r="IF231" s="3"/>
      <c r="IG231" s="3"/>
    </row>
    <row r="232" spans="1:241" ht="11.25">
      <c r="A232" s="59" t="s">
        <v>516</v>
      </c>
      <c r="B232" s="59"/>
      <c r="C232" s="143">
        <v>12759</v>
      </c>
      <c r="D232" s="61" t="s">
        <v>517</v>
      </c>
      <c r="E232" s="49">
        <v>1</v>
      </c>
      <c r="F232" s="77"/>
      <c r="G232" s="77"/>
      <c r="T232" s="52">
        <f>300/3*E232</f>
        <v>100</v>
      </c>
      <c r="BU232" s="52">
        <f>150/3*E232</f>
        <v>50</v>
      </c>
      <c r="BY232" s="52">
        <f>150/3*E232</f>
        <v>50</v>
      </c>
      <c r="CK232" s="52">
        <f>0.05*6/3*E232</f>
        <v>0.10000000000000002</v>
      </c>
      <c r="CL232" s="52">
        <f>30/3*E232</f>
        <v>10</v>
      </c>
      <c r="EE232" s="52">
        <f>150/3*E232</f>
        <v>50</v>
      </c>
      <c r="FA232" s="52">
        <f>0.95*6/3*E232</f>
        <v>1.9000000000000001</v>
      </c>
      <c r="GQ232" s="52">
        <f>150/3*E232</f>
        <v>50</v>
      </c>
      <c r="IG232" s="1">
        <f>(0.005*450)/3*E232</f>
        <v>0.75</v>
      </c>
    </row>
    <row r="233" spans="1:62" ht="22.5">
      <c r="A233" s="78"/>
      <c r="B233" s="78"/>
      <c r="C233" s="144"/>
      <c r="D233" s="79"/>
      <c r="E233" s="145" t="s">
        <v>518</v>
      </c>
      <c r="F233" s="146"/>
      <c r="G233" s="146"/>
      <c r="BJ233" s="52">
        <f>150/3*E232</f>
        <v>50</v>
      </c>
    </row>
    <row r="234" spans="1:39" ht="11.25">
      <c r="A234" s="78"/>
      <c r="B234" s="77"/>
      <c r="C234" s="144"/>
      <c r="D234" s="51"/>
      <c r="E234" s="68"/>
      <c r="F234" s="51"/>
      <c r="G234" s="51"/>
      <c r="H234" s="147"/>
      <c r="I234" s="147"/>
      <c r="J234" s="147"/>
      <c r="K234" s="147"/>
      <c r="AL234" s="147"/>
      <c r="AM234" s="147"/>
    </row>
    <row r="235" spans="1:7" ht="18.75">
      <c r="A235" s="148" t="s">
        <v>519</v>
      </c>
      <c r="B235" s="78"/>
      <c r="C235" s="144"/>
      <c r="D235" s="67" t="s">
        <v>520</v>
      </c>
      <c r="E235" s="96"/>
      <c r="F235" s="77"/>
      <c r="G235" s="77"/>
    </row>
    <row r="236" spans="1:7" ht="9.75">
      <c r="A236" s="59" t="s">
        <v>521</v>
      </c>
      <c r="B236" s="59"/>
      <c r="C236" s="143" t="s">
        <v>522</v>
      </c>
      <c r="D236" s="61" t="s">
        <v>523</v>
      </c>
      <c r="E236" s="49">
        <v>0.2</v>
      </c>
      <c r="F236" s="77"/>
      <c r="G236" s="77"/>
    </row>
    <row r="237" spans="1:7" ht="9.75">
      <c r="A237" s="62" t="s">
        <v>521</v>
      </c>
      <c r="B237" s="62"/>
      <c r="C237" s="149" t="s">
        <v>522</v>
      </c>
      <c r="D237" s="64" t="s">
        <v>523</v>
      </c>
      <c r="E237" s="56">
        <v>0</v>
      </c>
      <c r="F237" s="77"/>
      <c r="G237" s="77"/>
    </row>
    <row r="238" spans="1:7" ht="12.75" customHeight="1">
      <c r="A238" s="150" t="s">
        <v>524</v>
      </c>
      <c r="B238" s="150" t="s">
        <v>525</v>
      </c>
      <c r="C238" s="143"/>
      <c r="D238" s="61"/>
      <c r="E238" s="49">
        <v>0.15</v>
      </c>
      <c r="F238" s="51"/>
      <c r="G238" s="51"/>
    </row>
    <row r="239" spans="1:7" ht="12.75" customHeight="1">
      <c r="A239" s="151" t="s">
        <v>524</v>
      </c>
      <c r="B239" s="151" t="s">
        <v>525</v>
      </c>
      <c r="C239" s="149"/>
      <c r="D239" s="64"/>
      <c r="E239" s="56">
        <v>0</v>
      </c>
      <c r="F239" s="51"/>
      <c r="G239" s="51"/>
    </row>
    <row r="240" spans="1:7" ht="12.75" customHeight="1">
      <c r="A240" s="150" t="s">
        <v>526</v>
      </c>
      <c r="B240" s="150" t="s">
        <v>525</v>
      </c>
      <c r="C240" s="143"/>
      <c r="D240" s="61"/>
      <c r="E240" s="49">
        <f>0.27*2</f>
        <v>0.54</v>
      </c>
      <c r="F240" s="51"/>
      <c r="G240" s="51"/>
    </row>
    <row r="241" spans="1:7" ht="12.75" customHeight="1">
      <c r="A241" s="151" t="s">
        <v>526</v>
      </c>
      <c r="B241" s="151" t="s">
        <v>525</v>
      </c>
      <c r="C241" s="149"/>
      <c r="D241" s="64"/>
      <c r="E241" s="56">
        <f>0.18*2</f>
        <v>0.36</v>
      </c>
      <c r="F241" s="51"/>
      <c r="G241" s="51"/>
    </row>
    <row r="242" spans="1:7" ht="12.75" customHeight="1">
      <c r="A242" s="152" t="s">
        <v>527</v>
      </c>
      <c r="B242" s="153" t="s">
        <v>525</v>
      </c>
      <c r="C242" s="153"/>
      <c r="D242" s="82"/>
      <c r="E242" s="87">
        <v>0.36</v>
      </c>
      <c r="F242" s="51"/>
      <c r="G242" s="51"/>
    </row>
    <row r="243" spans="1:7" ht="11.25">
      <c r="A243" s="151" t="s">
        <v>527</v>
      </c>
      <c r="B243" s="149" t="s">
        <v>525</v>
      </c>
      <c r="C243" s="149"/>
      <c r="D243" s="64"/>
      <c r="E243" s="56">
        <v>0.24</v>
      </c>
      <c r="F243" s="51"/>
      <c r="G243" s="51"/>
    </row>
    <row r="244" spans="1:30" ht="11.25">
      <c r="A244" s="80" t="s">
        <v>528</v>
      </c>
      <c r="B244" s="153" t="s">
        <v>529</v>
      </c>
      <c r="C244" s="153" t="s">
        <v>529</v>
      </c>
      <c r="D244" s="82" t="s">
        <v>300</v>
      </c>
      <c r="E244" s="87">
        <v>0.24</v>
      </c>
      <c r="F244" s="77"/>
      <c r="G244" s="77"/>
      <c r="AC244" s="83">
        <f>E244*1000</f>
        <v>240</v>
      </c>
      <c r="AD244" s="3"/>
    </row>
    <row r="245" spans="1:30" ht="11.25">
      <c r="A245" s="62" t="s">
        <v>528</v>
      </c>
      <c r="B245" s="149" t="s">
        <v>529</v>
      </c>
      <c r="C245" s="149" t="s">
        <v>529</v>
      </c>
      <c r="D245" s="64" t="s">
        <v>300</v>
      </c>
      <c r="E245" s="56">
        <v>0.16</v>
      </c>
      <c r="F245" s="77"/>
      <c r="G245" s="77"/>
      <c r="AC245" s="58">
        <f>E245*1000</f>
        <v>160</v>
      </c>
      <c r="AD245" s="3"/>
    </row>
    <row r="246" spans="1:7" ht="11.25">
      <c r="A246" s="150" t="s">
        <v>530</v>
      </c>
      <c r="B246" s="143"/>
      <c r="C246" s="143" t="s">
        <v>341</v>
      </c>
      <c r="D246" s="61" t="s">
        <v>531</v>
      </c>
      <c r="E246" s="49">
        <f>1.2*1</f>
        <v>1.2</v>
      </c>
      <c r="F246" s="51"/>
      <c r="G246" s="51"/>
    </row>
    <row r="247" spans="1:7" ht="11.25">
      <c r="A247" s="151" t="s">
        <v>530</v>
      </c>
      <c r="B247" s="149"/>
      <c r="C247" s="149" t="s">
        <v>341</v>
      </c>
      <c r="D247" s="64" t="s">
        <v>531</v>
      </c>
      <c r="E247" s="56">
        <f>0.8*1</f>
        <v>0.8</v>
      </c>
      <c r="F247" s="51"/>
      <c r="G247" s="51"/>
    </row>
    <row r="248" spans="1:63" ht="11.25">
      <c r="A248" s="152" t="s">
        <v>532</v>
      </c>
      <c r="B248" s="153" t="s">
        <v>533</v>
      </c>
      <c r="C248" s="153"/>
      <c r="D248" s="82" t="s">
        <v>534</v>
      </c>
      <c r="E248" s="87">
        <v>0.5</v>
      </c>
      <c r="F248" s="51"/>
      <c r="G248" s="51"/>
      <c r="BK248" s="83">
        <f>5*E248</f>
        <v>2.5</v>
      </c>
    </row>
    <row r="249" spans="1:63" ht="11.25">
      <c r="A249" s="151" t="s">
        <v>532</v>
      </c>
      <c r="B249" s="149" t="s">
        <v>533</v>
      </c>
      <c r="C249" s="149"/>
      <c r="D249" s="64" t="s">
        <v>534</v>
      </c>
      <c r="E249" s="107">
        <f>2/5</f>
        <v>0.4</v>
      </c>
      <c r="F249" s="51"/>
      <c r="G249" s="51"/>
      <c r="BK249" s="99">
        <f>5*E249</f>
        <v>2</v>
      </c>
    </row>
    <row r="250" spans="1:165" s="93" customFormat="1" ht="11.25">
      <c r="A250" s="154" t="s">
        <v>535</v>
      </c>
      <c r="B250" s="155" t="s">
        <v>525</v>
      </c>
      <c r="C250" s="155"/>
      <c r="D250" s="90" t="s">
        <v>536</v>
      </c>
      <c r="E250" s="156">
        <f>1.2*0</f>
        <v>0</v>
      </c>
      <c r="F250" s="92"/>
      <c r="G250" s="92"/>
      <c r="BK250" s="157"/>
      <c r="CB250" s="93">
        <f>E250*1000000</f>
        <v>0</v>
      </c>
      <c r="ER250" s="94"/>
      <c r="FI250" s="95"/>
    </row>
    <row r="251" spans="1:165" s="93" customFormat="1" ht="11.25">
      <c r="A251" s="154" t="s">
        <v>535</v>
      </c>
      <c r="B251" s="155" t="s">
        <v>525</v>
      </c>
      <c r="C251" s="155"/>
      <c r="D251" s="90" t="s">
        <v>536</v>
      </c>
      <c r="E251" s="156">
        <f>0.8*0</f>
        <v>0</v>
      </c>
      <c r="F251" s="92"/>
      <c r="G251" s="92"/>
      <c r="BK251" s="157"/>
      <c r="CB251" s="93">
        <f>E251*1000000</f>
        <v>0</v>
      </c>
      <c r="ER251" s="94"/>
      <c r="FI251" s="95"/>
    </row>
    <row r="252" spans="1:165" s="3" customFormat="1" ht="11.25">
      <c r="A252" s="150" t="s">
        <v>537</v>
      </c>
      <c r="B252" s="143"/>
      <c r="C252" s="143" t="s">
        <v>538</v>
      </c>
      <c r="D252" s="61" t="s">
        <v>539</v>
      </c>
      <c r="E252" s="158">
        <v>0.5</v>
      </c>
      <c r="F252" s="51"/>
      <c r="G252" s="51"/>
      <c r="BK252" s="110"/>
      <c r="ER252" s="69"/>
      <c r="FI252" s="70"/>
    </row>
    <row r="253" spans="1:165" s="3" customFormat="1" ht="11.25">
      <c r="A253" s="151" t="s">
        <v>537</v>
      </c>
      <c r="B253" s="149"/>
      <c r="C253" s="149" t="s">
        <v>538</v>
      </c>
      <c r="D253" s="64" t="s">
        <v>539</v>
      </c>
      <c r="E253" s="103">
        <v>0.5</v>
      </c>
      <c r="F253" s="51"/>
      <c r="G253" s="51"/>
      <c r="BK253" s="110"/>
      <c r="ER253" s="69"/>
      <c r="FI253" s="70"/>
    </row>
    <row r="254" spans="1:131" ht="11.25">
      <c r="A254" s="152" t="s">
        <v>540</v>
      </c>
      <c r="B254" s="153" t="s">
        <v>541</v>
      </c>
      <c r="C254" s="153" t="s">
        <v>538</v>
      </c>
      <c r="D254" s="82" t="s">
        <v>542</v>
      </c>
      <c r="E254" s="49">
        <v>3</v>
      </c>
      <c r="F254" s="51"/>
      <c r="G254" s="51"/>
      <c r="BK254" s="3"/>
      <c r="EA254" s="83">
        <f>500*E254</f>
        <v>1500</v>
      </c>
    </row>
    <row r="255" spans="1:131" ht="11.25">
      <c r="A255" s="151" t="s">
        <v>540</v>
      </c>
      <c r="B255" s="149" t="s">
        <v>541</v>
      </c>
      <c r="C255" s="149" t="s">
        <v>538</v>
      </c>
      <c r="D255" s="64" t="s">
        <v>542</v>
      </c>
      <c r="E255" s="56">
        <v>2</v>
      </c>
      <c r="F255" s="51"/>
      <c r="G255" s="51"/>
      <c r="EA255" s="58">
        <f>500*E255</f>
        <v>1000</v>
      </c>
    </row>
    <row r="256" spans="1:165" ht="11.25">
      <c r="A256" s="150" t="s">
        <v>543</v>
      </c>
      <c r="B256" s="143"/>
      <c r="C256" s="143"/>
      <c r="D256" s="61"/>
      <c r="E256" s="49">
        <v>0.72</v>
      </c>
      <c r="F256" s="51"/>
      <c r="G256" s="51"/>
      <c r="AO256" s="52">
        <f>E256*1000</f>
        <v>720</v>
      </c>
      <c r="DS256" s="3"/>
      <c r="EA256" s="3"/>
      <c r="EQ256" s="4"/>
      <c r="ER256" s="1"/>
      <c r="FH256" s="2"/>
      <c r="FI256" s="1"/>
    </row>
    <row r="257" spans="1:165" ht="11.25">
      <c r="A257" s="151" t="s">
        <v>543</v>
      </c>
      <c r="B257" s="149"/>
      <c r="C257" s="149"/>
      <c r="D257" s="64"/>
      <c r="E257" s="56">
        <v>0.48</v>
      </c>
      <c r="F257" s="51"/>
      <c r="G257" s="51"/>
      <c r="AO257" s="58">
        <f>E257*1000</f>
        <v>480</v>
      </c>
      <c r="EA257" s="3"/>
      <c r="EQ257" s="4"/>
      <c r="ER257" s="1"/>
      <c r="FH257" s="2"/>
      <c r="FI257" s="1"/>
    </row>
    <row r="258" spans="1:7" ht="9.75">
      <c r="A258" s="152" t="s">
        <v>544</v>
      </c>
      <c r="B258" s="153" t="s">
        <v>341</v>
      </c>
      <c r="C258" s="153"/>
      <c r="D258" s="82" t="s">
        <v>545</v>
      </c>
      <c r="E258" s="87">
        <v>1.92</v>
      </c>
      <c r="F258" s="51"/>
      <c r="G258" s="51"/>
    </row>
    <row r="259" spans="1:7" ht="9.75">
      <c r="A259" s="151" t="s">
        <v>544</v>
      </c>
      <c r="B259" s="149" t="s">
        <v>341</v>
      </c>
      <c r="C259" s="149"/>
      <c r="D259" s="64" t="s">
        <v>545</v>
      </c>
      <c r="E259" s="56">
        <v>1.28</v>
      </c>
      <c r="F259" s="51"/>
      <c r="G259" s="51"/>
    </row>
    <row r="260" spans="1:165" s="3" customFormat="1" ht="9.75">
      <c r="A260" s="150" t="s">
        <v>546</v>
      </c>
      <c r="B260" s="150"/>
      <c r="C260" s="143"/>
      <c r="D260" s="61" t="s">
        <v>547</v>
      </c>
      <c r="E260" s="49">
        <v>2</v>
      </c>
      <c r="F260" s="51"/>
      <c r="G260" s="51"/>
      <c r="ER260" s="69"/>
      <c r="FE260" s="52">
        <f>$E260*0.66*1000</f>
        <v>1320</v>
      </c>
      <c r="FI260" s="70"/>
    </row>
    <row r="261" spans="1:165" s="3" customFormat="1" ht="9.75">
      <c r="A261" s="151" t="s">
        <v>546</v>
      </c>
      <c r="B261" s="151"/>
      <c r="C261" s="149"/>
      <c r="D261" s="64" t="s">
        <v>548</v>
      </c>
      <c r="E261" s="56">
        <v>2.5</v>
      </c>
      <c r="F261" s="51"/>
      <c r="G261" s="51"/>
      <c r="ER261" s="69"/>
      <c r="FE261" s="58">
        <f>$E261*0.66*1000</f>
        <v>1650.0000000000002</v>
      </c>
      <c r="FI261" s="70"/>
    </row>
    <row r="262" spans="1:215" ht="9.75">
      <c r="A262" s="152" t="s">
        <v>549</v>
      </c>
      <c r="B262" s="153" t="s">
        <v>525</v>
      </c>
      <c r="C262" s="153"/>
      <c r="D262" s="82" t="s">
        <v>550</v>
      </c>
      <c r="E262" s="87">
        <f>0.4*1.2</f>
        <v>0.48</v>
      </c>
      <c r="F262" s="51"/>
      <c r="G262" s="51"/>
      <c r="HG262" s="83">
        <f>E262*1000</f>
        <v>480</v>
      </c>
    </row>
    <row r="263" spans="1:215" ht="9.75">
      <c r="A263" s="151" t="s">
        <v>549</v>
      </c>
      <c r="B263" s="149" t="s">
        <v>525</v>
      </c>
      <c r="C263" s="149"/>
      <c r="D263" s="64" t="s">
        <v>550</v>
      </c>
      <c r="E263" s="56">
        <f>0.4*0.8</f>
        <v>0.32000000000000006</v>
      </c>
      <c r="F263" s="51"/>
      <c r="G263" s="51"/>
      <c r="HG263" s="58">
        <f>E263*1000</f>
        <v>320.00000000000006</v>
      </c>
    </row>
    <row r="264" spans="1:169" s="119" customFormat="1" ht="9.75">
      <c r="A264" s="159" t="s">
        <v>551</v>
      </c>
      <c r="B264" s="159" t="s">
        <v>525</v>
      </c>
      <c r="C264" s="160"/>
      <c r="D264" s="161" t="s">
        <v>550</v>
      </c>
      <c r="E264" s="162">
        <v>0</v>
      </c>
      <c r="F264" s="118"/>
      <c r="G264" s="118"/>
      <c r="ER264" s="120"/>
      <c r="FI264" s="121"/>
      <c r="FM264" s="119">
        <f>$E264*1000</f>
        <v>0</v>
      </c>
    </row>
    <row r="265" spans="1:169" s="119" customFormat="1" ht="9.75">
      <c r="A265" s="159" t="s">
        <v>551</v>
      </c>
      <c r="B265" s="159" t="s">
        <v>525</v>
      </c>
      <c r="C265" s="160"/>
      <c r="D265" s="161" t="s">
        <v>550</v>
      </c>
      <c r="E265" s="162">
        <v>0</v>
      </c>
      <c r="ER265" s="120"/>
      <c r="FI265" s="121"/>
      <c r="FM265" s="119">
        <f>$E265*1000</f>
        <v>0</v>
      </c>
    </row>
    <row r="266" spans="1:170" ht="12">
      <c r="A266" s="150" t="s">
        <v>552</v>
      </c>
      <c r="B266" s="150" t="s">
        <v>525</v>
      </c>
      <c r="C266" s="143"/>
      <c r="D266" s="163" t="s">
        <v>550</v>
      </c>
      <c r="E266" s="164">
        <f>0.2*1.2</f>
        <v>0.24</v>
      </c>
      <c r="FM266"/>
      <c r="FN266" s="52">
        <f>$E266*1000</f>
        <v>240</v>
      </c>
    </row>
    <row r="267" spans="1:170" ht="12">
      <c r="A267" s="151" t="s">
        <v>552</v>
      </c>
      <c r="B267" s="151" t="s">
        <v>525</v>
      </c>
      <c r="C267" s="149"/>
      <c r="D267" s="165" t="s">
        <v>550</v>
      </c>
      <c r="E267" s="166">
        <f>0.2*0.8</f>
        <v>0.16000000000000003</v>
      </c>
      <c r="FM267"/>
      <c r="FN267" s="58">
        <f>$E267*1000</f>
        <v>160.00000000000003</v>
      </c>
    </row>
    <row r="268" spans="1:170" ht="12">
      <c r="A268" s="150" t="s">
        <v>553</v>
      </c>
      <c r="B268" s="150"/>
      <c r="C268" s="143"/>
      <c r="D268" s="163" t="s">
        <v>550</v>
      </c>
      <c r="E268" s="164">
        <v>0.51</v>
      </c>
      <c r="FM268"/>
      <c r="FN268" s="3"/>
    </row>
    <row r="269" spans="1:170" ht="12">
      <c r="A269" s="151" t="s">
        <v>554</v>
      </c>
      <c r="B269" s="151"/>
      <c r="C269" s="149"/>
      <c r="D269" s="165" t="s">
        <v>550</v>
      </c>
      <c r="E269" s="166">
        <v>0</v>
      </c>
      <c r="FM269"/>
      <c r="FN269" s="3"/>
    </row>
    <row r="270" spans="1:135" ht="9.75">
      <c r="A270" s="167"/>
      <c r="B270" s="167"/>
      <c r="C270" s="168"/>
      <c r="D270" s="51"/>
      <c r="E270" s="68"/>
      <c r="F270" s="51"/>
      <c r="G270" s="51"/>
      <c r="ED270" s="3"/>
      <c r="EE270" s="3"/>
    </row>
    <row r="271" spans="1:245" s="186" customFormat="1" ht="9.75">
      <c r="A271" s="169" t="s">
        <v>555</v>
      </c>
      <c r="B271" s="170"/>
      <c r="C271" s="171"/>
      <c r="D271" s="172" t="s">
        <v>556</v>
      </c>
      <c r="E271" s="173"/>
      <c r="F271" s="174">
        <f>SUM(F1:F267)-F7-F9</f>
        <v>182.5</v>
      </c>
      <c r="G271" s="175">
        <f>SUM(G1:G267)</f>
        <v>1000</v>
      </c>
      <c r="H271" s="176">
        <f>SUM(H1:H267)-H113</f>
        <v>400</v>
      </c>
      <c r="I271" s="177">
        <f>SUM(I1:I259)</f>
        <v>1000</v>
      </c>
      <c r="J271" s="176">
        <f>SUM(J1:J267)-J203-J231</f>
        <v>400.74</v>
      </c>
      <c r="K271" s="177">
        <f>SUM(K1:K267)</f>
        <v>1600</v>
      </c>
      <c r="L271" s="176">
        <f>SUM(L1:L267)-L113</f>
        <v>66.66666666666666</v>
      </c>
      <c r="M271" s="175">
        <f>SUM(M1:M267)</f>
        <v>30</v>
      </c>
      <c r="N271" s="177">
        <f>SUM(N1:N267)</f>
        <v>425</v>
      </c>
      <c r="O271" s="176">
        <f>SUM(O1:O267)-O106-O113</f>
        <v>59.515050167224075</v>
      </c>
      <c r="P271" s="176">
        <f>SUM(P1:P259)-P113</f>
        <v>47</v>
      </c>
      <c r="Q271" s="176">
        <f>SUM(Q1:Q265)-Q231</f>
        <v>357</v>
      </c>
      <c r="R271" s="176">
        <f>SUM(R1:R267)-R104-R203-R231</f>
        <v>4422.246666666667</v>
      </c>
      <c r="S271" s="175">
        <f>SUM(S2:S267)</f>
        <v>500</v>
      </c>
      <c r="T271" s="176">
        <f>SUM(T2:T267)-T12-T49</f>
        <v>874.9999999999999</v>
      </c>
      <c r="U271" s="176">
        <f>SUM(U2:U267)-U203-U231</f>
        <v>828.6599999999999</v>
      </c>
      <c r="V271" s="175">
        <f>SUM(V1:V267)</f>
        <v>162</v>
      </c>
      <c r="W271" s="178">
        <f>SUM(W1:W269)-W14</f>
        <v>8000</v>
      </c>
      <c r="X271" s="179">
        <f>SUM(X2:X267)-X16</f>
        <v>0.6</v>
      </c>
      <c r="Y271" s="176">
        <f>SUM(Y2:Y267)</f>
        <v>500</v>
      </c>
      <c r="Z271" s="177">
        <f>SUM(Z1:Z267)</f>
        <v>1875</v>
      </c>
      <c r="AA271" s="176">
        <f>SUM(AA2:AA267)-AA113</f>
        <v>1800</v>
      </c>
      <c r="AB271" s="177">
        <f>SUM(AB2:AB267)</f>
        <v>2350</v>
      </c>
      <c r="AC271" s="176">
        <f>SUM(AC2:AC267)-AC108-AC245</f>
        <v>241.64999999999998</v>
      </c>
      <c r="AD271" s="176">
        <f>SUM(AD2:AD267)-AD47-AD72-AD206</f>
        <v>1050</v>
      </c>
      <c r="AE271" s="176">
        <f>SUM(AE2:AE267)-AE25-AE113</f>
        <v>16400.000000000004</v>
      </c>
      <c r="AF271" s="176">
        <f>SUM(AF2:AF267)-AF143</f>
        <v>20</v>
      </c>
      <c r="AG271" s="180">
        <f>SUM(AG1:AG267)-AG7-AG113-AG158</f>
        <v>6.874999999999999</v>
      </c>
      <c r="AH271" s="176">
        <f>SUM(AH1:AH267)-AH30-AH113-AH143</f>
        <v>1203.3333333333335</v>
      </c>
      <c r="AI271" s="176">
        <f>SUM(AI1:AI267)-AI113</f>
        <v>1010</v>
      </c>
      <c r="AJ271" s="178">
        <f>SUM(AJ1:AJ269)-AJ30-AJ33-AJ72-AJ87-AJ108-AJ113-AJ147-AJ165-AJ206-AJ231</f>
        <v>1575.7999999999997</v>
      </c>
      <c r="AK271" s="181">
        <f>SUM(AK1:AK267)</f>
        <v>25</v>
      </c>
      <c r="AL271" s="176">
        <f>SUM(AL1:AL267)-AL137</f>
        <v>974.7390396659707</v>
      </c>
      <c r="AM271" s="176">
        <f>SUM(AM1:AM267)-AM137</f>
        <v>518.7777777777778</v>
      </c>
      <c r="AN271" s="181">
        <f>SUM(AN1:AN267)</f>
        <v>762.0272314674735</v>
      </c>
      <c r="AO271" s="176">
        <f>SUM(AO1:AO267)-AO137-AO257</f>
        <v>2258</v>
      </c>
      <c r="AP271" s="177">
        <f>SUM(AP1:AP267)</f>
        <v>400</v>
      </c>
      <c r="AQ271" s="176">
        <f>SUM(AQ1:AQ267)-AQ87-AQ106-AQ113</f>
        <v>328.7764771460424</v>
      </c>
      <c r="AR271" s="176">
        <f>SUM(AR1:AR267)</f>
        <v>252</v>
      </c>
      <c r="AS271" s="175">
        <f>SUM(AS1:AS267)</f>
        <v>45</v>
      </c>
      <c r="AT271" s="176">
        <f>SUM(AT$2:AT267)-AT39</f>
        <v>400</v>
      </c>
      <c r="AU271" s="176">
        <f>SUM(AU1:AU267)-AU41-AU113</f>
        <v>2286.05</v>
      </c>
      <c r="AV271" s="176">
        <f>SUM(AV1:AV267)-AV45-AV113-AV131-AV147-AG158</f>
        <v>1031.6666666666667</v>
      </c>
      <c r="AW271" s="178">
        <f>SUM(AW1:AW267)</f>
        <v>375</v>
      </c>
      <c r="AX271" s="176">
        <f>SUM(AX2:AX267)-AX45</f>
        <v>350</v>
      </c>
      <c r="AY271" s="178">
        <f>SUM(AY1:AY269)-AY70</f>
        <v>578.4444444444445</v>
      </c>
      <c r="AZ271" s="177">
        <f>SUM(AZ1:AZ269)</f>
        <v>200</v>
      </c>
      <c r="BA271" s="180">
        <f>SUM(BA1:BA267)-BA113-BA158-BA39</f>
        <v>4.666666666666666</v>
      </c>
      <c r="BB271" s="177">
        <f>SUM(BB1:BB267)</f>
        <v>120</v>
      </c>
      <c r="BC271" s="176">
        <f>SUM(BC1:BC267)-BC51</f>
        <v>500</v>
      </c>
      <c r="BD271" s="176">
        <f>SUM(BD1:BD267)-BD53</f>
        <v>9000</v>
      </c>
      <c r="BE271" s="176">
        <f>SUM(BE2:BE267)</f>
        <v>688.75</v>
      </c>
      <c r="BF271" s="176">
        <f>SUM(BF1:BF267)-BF203-BF231</f>
        <v>192.48000000000002</v>
      </c>
      <c r="BG271" s="176">
        <f>SUM(BG1:BG267)-BG113</f>
        <v>1600</v>
      </c>
      <c r="BH271" s="177">
        <f>SUM(BH1:BH267)</f>
        <v>0</v>
      </c>
      <c r="BI271" s="176">
        <f>SUM(BI1:BI267)-BI143-BI203</f>
        <v>115.976</v>
      </c>
      <c r="BJ271" s="176">
        <f>SUM(BJ1:BJ267)</f>
        <v>150</v>
      </c>
      <c r="BK271" s="180">
        <f>SUM(BK1:BK267)-BK249</f>
        <v>2.5</v>
      </c>
      <c r="BL271" s="176">
        <f>SUM(BL1:BL267)-BL212</f>
        <v>1000</v>
      </c>
      <c r="BM271" s="178">
        <f>SUM(BM1:BM267)-BM57</f>
        <v>25</v>
      </c>
      <c r="BN271" s="177">
        <f>SUM(BN1:BN267)</f>
        <v>100</v>
      </c>
      <c r="BO271" s="176">
        <f>SUM(BO1:BO267)-BO61-BO113</f>
        <v>84</v>
      </c>
      <c r="BP271" s="177">
        <f>SUM(BP1:BP269)-BP30</f>
        <v>14</v>
      </c>
      <c r="BQ271" s="176">
        <f>SUM(BQ1:BQ267)-BQ65</f>
        <v>554.9999999999999</v>
      </c>
      <c r="BR271" s="176">
        <f>SUM(BR1:BR267)-BR143</f>
        <v>12.5</v>
      </c>
      <c r="BS271" s="177">
        <f>SUM(BS1:BS267)</f>
        <v>200</v>
      </c>
      <c r="BT271" s="176">
        <f>SUM(BT1:BT267)-BT113</f>
        <v>0</v>
      </c>
      <c r="BU271" s="176">
        <f>SUM(BU1:BU269)-BU106</f>
        <v>110</v>
      </c>
      <c r="BV271" s="175">
        <f>SUM(BV2:BV267)</f>
        <v>240</v>
      </c>
      <c r="BW271" s="176">
        <f>SUM(BW1:BW267)-BW212</f>
        <v>1400</v>
      </c>
      <c r="BX271" s="176">
        <f>SUM(BX2:BX267)-BX106-BX113</f>
        <v>463.5501672240804</v>
      </c>
      <c r="BY271" s="178">
        <f>SUM(BY2:BY267)</f>
        <v>50</v>
      </c>
      <c r="BZ271" s="176">
        <f>SUM(BZ1:BZ267)-BZ113-BZ206</f>
        <v>46.15357766143107</v>
      </c>
      <c r="CA271" s="176">
        <f>SUM(CA1:CA267)-CA113-CA206</f>
        <v>3.2966841186736477</v>
      </c>
      <c r="CB271" s="176">
        <f>SUM(CB1:CB267)-CB75-CC76-CB113-CB251</f>
        <v>1293.3333333333335</v>
      </c>
      <c r="CC271" s="175">
        <f>SUM(CC2:CC267)</f>
        <v>40</v>
      </c>
      <c r="CD271" s="175">
        <f>SUM(CD2:CD267)</f>
        <v>0</v>
      </c>
      <c r="CE271" s="176">
        <f>SUM(CE1:CE267)-CE113</f>
        <v>883.3333333333333</v>
      </c>
      <c r="CF271" s="176">
        <f>SUM(CF1:CF267)-CF79</f>
        <v>4700</v>
      </c>
      <c r="CG271" s="176">
        <f>SUM(CG1:CG267)-CG9-CG43</f>
        <v>475</v>
      </c>
      <c r="CH271" s="176">
        <f>SUM(CH1:CH267)-CH87-CH113</f>
        <v>12.500000000000002</v>
      </c>
      <c r="CI271" s="175">
        <f>SUM(CI1:CI267)</f>
        <v>1550</v>
      </c>
      <c r="CJ271" s="176">
        <f>SUM(CJ1:CJ267)-CJ203</f>
        <v>39.93600000000001</v>
      </c>
      <c r="CK271" s="176">
        <f>SUM(CK1:CK267)-CK9-CK49-CK113</f>
        <v>167.18333333333337</v>
      </c>
      <c r="CL271" s="176">
        <f>SUM(CL2:CL267)-CL106</f>
        <v>322</v>
      </c>
      <c r="CM271" s="177">
        <f>SUM(CM1:CM267)</f>
        <v>1200</v>
      </c>
      <c r="CN271" s="176">
        <f>SUM(CN1:CN267)</f>
        <v>0</v>
      </c>
      <c r="CO271" s="177">
        <f>SUM(CO1:CO267)</f>
        <v>0</v>
      </c>
      <c r="CP271" s="176">
        <f>SUM(CP1:CP269)-CP30-CP113</f>
        <v>136.7885714285714</v>
      </c>
      <c r="CQ271" s="178">
        <f>SUM(CQ1:CQ269)-CQ70-CQ201</f>
        <v>816.6666666666666</v>
      </c>
      <c r="CR271" s="174">
        <f>SUM(CR1:CR267)-CR7-CR9</f>
        <v>375</v>
      </c>
      <c r="CS271" s="174">
        <f>SUM(CS1:CS267)-CS7-CS9</f>
        <v>375</v>
      </c>
      <c r="CT271" s="176">
        <f>SUM(CT1:CT267)-CT9-CT43</f>
        <v>525</v>
      </c>
      <c r="CU271" s="176">
        <f>SUM(CU5:CU269)-CU110-CU203-CU231</f>
        <v>1283.94</v>
      </c>
      <c r="CV271" s="176">
        <f>SUM(CV1:CV267)-CV49</f>
        <v>600</v>
      </c>
      <c r="CW271" s="176">
        <f>SUM(CW1:CW267)-CW203-CW231</f>
        <v>647.5333434190619</v>
      </c>
      <c r="CX271" s="177">
        <f>SUM(CX1:CX267)</f>
        <v>1150</v>
      </c>
      <c r="CY271" s="176">
        <f>SUM(CY1:CY267)-CY203</f>
        <v>53.093</v>
      </c>
      <c r="CZ271" s="177">
        <f>SUM(CZ1:CZ267)</f>
        <v>250</v>
      </c>
      <c r="DA271" s="178">
        <f>SUM(DA1:DA267)-DA89</f>
        <v>750</v>
      </c>
      <c r="DB271" s="176">
        <f>SUM(DB1:DB267)-DB47-DB72-DB92-DB113-DB206</f>
        <v>1164.1666666666667</v>
      </c>
      <c r="DC271" s="176">
        <f>SUM(DC1:DC267)-DC203-DC231</f>
        <v>203.39999999999998</v>
      </c>
      <c r="DD271" s="178">
        <f>SUM(DD1:DD267)</f>
        <v>500</v>
      </c>
      <c r="DE271" s="178">
        <f>SUM(DE1:DE269)-DE30</f>
        <v>80</v>
      </c>
      <c r="DF271" s="177">
        <f>SUM(DF1:DF267)</f>
        <v>0</v>
      </c>
      <c r="DG271" s="176">
        <f>SUM(DG1:DG267)-DG96-DG113-DG131-DG132-DG147</f>
        <v>906.6666666666667</v>
      </c>
      <c r="DH271" s="177">
        <f>SUM(DH1:DH267)</f>
        <v>800</v>
      </c>
      <c r="DI271" s="176">
        <f>SUM(DI1:DI269)-DI30-DI113</f>
        <v>50.00000000000001</v>
      </c>
      <c r="DJ271" s="177">
        <f>SUM(DJ1:DJ267)</f>
        <v>0</v>
      </c>
      <c r="DK271" s="180">
        <f>SUM(DK1:DK267)-DK98</f>
        <v>0</v>
      </c>
      <c r="DL271" s="176">
        <f>SUM(DL1:DL267)-DL29-DL203-DL231</f>
        <v>382.63999999999993</v>
      </c>
      <c r="DM271" s="176">
        <f>SUM(DM$2:DM267)-DL29-DM203-DM231</f>
        <v>655.4399999999999</v>
      </c>
      <c r="DN271" s="176">
        <f>SUM(DN$2:DN267)-DN231</f>
        <v>241.92000000000004</v>
      </c>
      <c r="DO271" s="175">
        <f>SUM(DO$2:DO267)</f>
        <v>0</v>
      </c>
      <c r="DP271" s="175">
        <f>SUM(DP$2:DP267)</f>
        <v>500</v>
      </c>
      <c r="DQ271" s="176">
        <f>SUM(DQ$2:DQ267)-DQ143</f>
        <v>512.5</v>
      </c>
      <c r="DR271" s="177">
        <f>SUM(DR$2:DR267)</f>
        <v>99.9</v>
      </c>
      <c r="DS271" s="177">
        <f>SUM(DS$2:DS267)</f>
        <v>300</v>
      </c>
      <c r="DT271" s="176">
        <f>SUM(DT$2:DT267)-DT113-DT122</f>
        <v>31.740000000000002</v>
      </c>
      <c r="DU271" s="176">
        <f>SUM(DU$2:DU267)-DU113-DU137-DU192</f>
        <v>25.333333333333336</v>
      </c>
      <c r="DV271" s="176">
        <f>SUM(DV$2:DV267)-DV113-DV122</f>
        <v>24.580000000000002</v>
      </c>
      <c r="DW271" s="178">
        <f>SUM(DW$2:DW267)</f>
        <v>80</v>
      </c>
      <c r="DX271" s="176">
        <f>SUM(DX$2:DX267)-DX113-DX125-DX131-DX132-DX147-DX206</f>
        <v>1065.92</v>
      </c>
      <c r="DY271" s="180">
        <f>SUM(DY$2:DY267)-DY113-DY158-DY206</f>
        <v>8.241666666666665</v>
      </c>
      <c r="DZ271" s="176">
        <f>SUM(DZ$2:DZ269)-DZ131-DZ132-DZ147</f>
        <v>25</v>
      </c>
      <c r="EA271" s="176">
        <f>SUM(EA$2:EA267)-EA255</f>
        <v>1500</v>
      </c>
      <c r="EB271" s="176">
        <f>SUM(EB$2:EB267)-EB203-EB231</f>
        <v>155.64000000000004</v>
      </c>
      <c r="EC271" s="176">
        <f>SUM(EC$2:EC267)-EC7-EC139</f>
        <v>2250</v>
      </c>
      <c r="ED271" s="176">
        <f>SUM(ED$2:ED267)-ED113-ED158</f>
        <v>208.33333333333331</v>
      </c>
      <c r="EE271" s="178">
        <f>SUM(EE$2:EE267)</f>
        <v>262.5</v>
      </c>
      <c r="EF271" s="176">
        <f>SUM(EF$2:EF269)-EF9-EF150</f>
        <v>481.25</v>
      </c>
      <c r="EG271" s="176">
        <f>SUM(EG$2:EG267)</f>
        <v>310.5</v>
      </c>
      <c r="EH271" s="176">
        <f>SUM(EH$2:EH267)-EH9</f>
        <v>1187.5</v>
      </c>
      <c r="EI271" s="178">
        <f>SUM(EI$2:EI267)-EI153</f>
        <v>480</v>
      </c>
      <c r="EJ271" s="174">
        <f>SUM(EJ$2:EJ269)-EJ30-EJ143</f>
        <v>126</v>
      </c>
      <c r="EK271" s="176">
        <f>SUM(EK$2:EK267)-EK113-EK212</f>
        <v>618.75</v>
      </c>
      <c r="EL271" s="175">
        <f>SUM(EL$2:EL267)</f>
        <v>1000</v>
      </c>
      <c r="EM271" s="175">
        <f>SUM(EM$2:EM267)-EM155</f>
        <v>90</v>
      </c>
      <c r="EN271" s="176">
        <f>SUM(EN$2:EN267)-E116</f>
        <v>1.9999999999999998</v>
      </c>
      <c r="EO271" s="176">
        <f>SUM(EO$2:EO267)</f>
        <v>0</v>
      </c>
      <c r="EP271" s="176">
        <f>SUM(EP$2:EP267)-EP113</f>
        <v>0</v>
      </c>
      <c r="EQ271" s="177">
        <f>SUM(EQ$2:EQ267)</f>
        <v>200</v>
      </c>
      <c r="ER271" s="178">
        <f>SUM(ER$2:ER267)</f>
        <v>14.75</v>
      </c>
      <c r="ES271" s="176">
        <f>SUM(ES$2:ES267)-ES203-ES231</f>
        <v>329.76</v>
      </c>
      <c r="ET271" s="175">
        <f>SUM(ET$2:ET267)-ET168</f>
        <v>8</v>
      </c>
      <c r="EU271" s="176">
        <f>SUM(EU$2:EU267)-EU49-EU106-EU108-EU113-EU168</f>
        <v>2284.4414715719067</v>
      </c>
      <c r="EV271" s="176">
        <f>SUM(EV$2:EV267)-EV108</f>
        <v>1500</v>
      </c>
      <c r="EW271" s="176">
        <f>SUM(EW$2:EW267)-EW108</f>
        <v>1050</v>
      </c>
      <c r="EX271" s="176">
        <f>SUM(EX$2:EX267)-EX168-EX49</f>
        <v>300.00000000000006</v>
      </c>
      <c r="EY271" s="176">
        <f>SUM(EY$2:EY267)-EY108-EY231</f>
        <v>522.25</v>
      </c>
      <c r="EZ271" s="178">
        <f>SUM(EZ$2:EZ267)</f>
        <v>425.02</v>
      </c>
      <c r="FA271" s="178">
        <f>SUM(FA$2:FA267)</f>
        <v>1.9000000000000001</v>
      </c>
      <c r="FB271" s="177">
        <f>SUM(FB$2:FB267)</f>
        <v>0</v>
      </c>
      <c r="FC271" s="176">
        <f>SUM(FC$2:FC269)-FC49-FC70-FC113</f>
        <v>1341.6499999999999</v>
      </c>
      <c r="FD271" s="178">
        <f>SUM(FD$2:FD267)-FD70-FD113-FD143-FD173</f>
        <v>1336.6666666666665</v>
      </c>
      <c r="FE271" s="176">
        <f>SUM(FE$2:FE267)-FE108-FE113-FE206-FE261</f>
        <v>1469.4333333333332</v>
      </c>
      <c r="FF271" s="177">
        <f>SUM(FF$2:FF267)</f>
        <v>0</v>
      </c>
      <c r="FG271" s="176">
        <f>SUM(FG$2:FG267)-FG175</f>
        <v>100</v>
      </c>
      <c r="FH271" s="176">
        <f>SUM(FH$2:FH267)-FH87-FH106-FH113</f>
        <v>352.3272017837236</v>
      </c>
      <c r="FI271" s="176">
        <f>SUM(FI$2:FI267)-FI203-FI231</f>
        <v>407.15999999999997</v>
      </c>
      <c r="FJ271" s="181">
        <f>SUM(FJ$2:FJ267)</f>
        <v>2000</v>
      </c>
      <c r="FK271" s="182">
        <f>SUM(FK$2:FK267)-FK33</f>
        <v>2120</v>
      </c>
      <c r="FL271" s="183">
        <f>SUM(FL$2:FL269)-FL187</f>
        <v>740</v>
      </c>
      <c r="FM271" s="182">
        <f>SUM(FM$2:FM267)-FM137-FM265</f>
        <v>780</v>
      </c>
      <c r="FN271" s="178">
        <f>SUM(FN$2:FN267)-FN87-FN185-FN187-FN267</f>
        <v>786</v>
      </c>
      <c r="FO271" s="176">
        <f>SUM(FO$2:FO267)-FO137</f>
        <v>600</v>
      </c>
      <c r="FP271" s="176">
        <f>SUM(FP$2:FP267)-FP63</f>
        <v>6000</v>
      </c>
      <c r="FQ271" s="176">
        <f>SUM(FQ$2:FQ267)-FQ189</f>
        <v>1200</v>
      </c>
      <c r="FR271" s="176">
        <f>SUM(FR$2:FR267)-FR206</f>
        <v>175.5</v>
      </c>
      <c r="FS271" s="176">
        <f>SUM(FS$2:FS267)-FS192-FS212</f>
        <v>367.4666666666667</v>
      </c>
      <c r="FT271" s="176">
        <f>SUM(FT$2:FT267)-FT47-FT194-FT206</f>
        <v>1307.5</v>
      </c>
      <c r="FU271" s="177">
        <f>SUM(FU$2:FU267)</f>
        <v>400</v>
      </c>
      <c r="FV271" s="176">
        <f>SUM(FV$2:FV267)</f>
        <v>320</v>
      </c>
      <c r="FW271" s="177">
        <f>SUM(FW$2:FW267)</f>
        <v>450</v>
      </c>
      <c r="FX271" s="177">
        <f>SUM(FX$2:FX267)</f>
        <v>25</v>
      </c>
      <c r="FY271" s="176">
        <f>SUM(FY$2:FY267)-FY113</f>
        <v>241.66666666666669</v>
      </c>
      <c r="FZ271" s="176">
        <f>SUM(FZ$2:FZ267)-FZ113</f>
        <v>83.33333333333334</v>
      </c>
      <c r="GA271" s="176">
        <f>SUM(GA$2:GA267)-GA113</f>
        <v>83.33333333333334</v>
      </c>
      <c r="GB271" s="176">
        <f>SUM(GB$2:GB267)-GB203-GB231</f>
        <v>407.24</v>
      </c>
      <c r="GC271" s="176">
        <f>SUM(GC$2:GC267)-GC113-GC212</f>
        <v>106.66666666666667</v>
      </c>
      <c r="GD271" s="177">
        <f>SUM(GD$2:GD267)</f>
        <v>536</v>
      </c>
      <c r="GE271" s="177">
        <f>SUM(GE$2:GE267)</f>
        <v>38.879999999999995</v>
      </c>
      <c r="GF271" s="175">
        <f>SUM(GF$2:GF267)</f>
        <v>5</v>
      </c>
      <c r="GG271" s="176">
        <f>SUM(GG$2:GG267)-GG106-GG113</f>
        <v>887.8372352285395</v>
      </c>
      <c r="GH271" s="176">
        <f>SUM(GH$2:GH267)-GH137-GH201</f>
        <v>1633.3333333333335</v>
      </c>
      <c r="GI271" s="176">
        <f>SUM(GI$2:GI267)-GI231</f>
        <v>102.2</v>
      </c>
      <c r="GJ271" s="177">
        <f>SUM(GJ$2:GJ267)</f>
        <v>435</v>
      </c>
      <c r="GK271" s="177">
        <f>SUM(GK$2:GK267)</f>
        <v>100</v>
      </c>
      <c r="GL271" s="174">
        <f>SUM(GL$2:GL269)-GL30-GL143</f>
        <v>200</v>
      </c>
      <c r="GM271" s="182">
        <f>SUM(GM$2:GM267)-GM113</f>
        <v>3133.3333333333335</v>
      </c>
      <c r="GN271" s="177">
        <f>SUM(GN$2:GN267)</f>
        <v>200</v>
      </c>
      <c r="GO271" s="176">
        <f>SUM(GO$2:GO267)-GO113-GO219</f>
        <v>84</v>
      </c>
      <c r="GP271" s="176">
        <f>SUM(GP$2:GP267)-GP203-GP231</f>
        <v>390.11999999999995</v>
      </c>
      <c r="GQ271" s="178">
        <f>SUM(GQ$2:GQ267)</f>
        <v>2050</v>
      </c>
      <c r="GR271" s="176">
        <f>SUM(GR$2:GR267)-GR113</f>
        <v>2066.6666666666665</v>
      </c>
      <c r="GS271" s="176">
        <f>SUM(GS$2:GS267)-GS203-GS231</f>
        <v>126.24000000000001</v>
      </c>
      <c r="GT271" s="176">
        <f>SUM(GT$2:GT267)-GT203-GT120-GT231</f>
        <v>1488.6</v>
      </c>
      <c r="GU271" s="176">
        <f>SUM(GU$2:GU267)-GU29-GU203-GU231</f>
        <v>429.65999999999997</v>
      </c>
      <c r="GV271" s="180">
        <f>SUM(GV$2:GV267)-GV158-GV225</f>
        <v>9.75</v>
      </c>
      <c r="GW271" s="180">
        <f>SUM(GW$2:GW267)-GW49</f>
        <v>25</v>
      </c>
      <c r="GX271" s="176">
        <f>SUM(GX$2:GX267)-GX113</f>
        <v>1533.3333333333335</v>
      </c>
      <c r="GY271" s="176">
        <f>SUM(GY$2:GY267)-GY137</f>
        <v>700</v>
      </c>
      <c r="GZ271" s="176">
        <f>SUM(GZ$2:GZ267)-GZ113-GZ137</f>
        <v>703.3333333333334</v>
      </c>
      <c r="HA271" s="176">
        <f>SUM(HA$2:HA267)-HA113</f>
        <v>233.33333333333331</v>
      </c>
      <c r="HB271" s="176">
        <f>SUM(HB$2:HB267)-HB113</f>
        <v>1509.8666666666668</v>
      </c>
      <c r="HC271" s="176">
        <f>SUM(HC$2:HC267)-HC113-HC131-HC147</f>
        <v>491.79999999999995</v>
      </c>
      <c r="HD271" s="176">
        <f>SUM(HD$2:HD267)-HD113</f>
        <v>128.33333333333334</v>
      </c>
      <c r="HE271" s="176">
        <f>SUM(HE$2:HE267)-HE165-HE108-HE113</f>
        <v>2011.7500000000002</v>
      </c>
      <c r="HF271" s="176">
        <f>SUM(HF$2:HF267)-HF113-HF147</f>
        <v>25.666666666666668</v>
      </c>
      <c r="HG271" s="176">
        <f>SUM(HG$2:HG267)-HG263</f>
        <v>479.99999999999994</v>
      </c>
      <c r="HH271" s="176">
        <f>SUM(HH$2:HH267)-HH29-HH113</f>
        <v>66.66666666666667</v>
      </c>
      <c r="HI271" s="176">
        <f>SUM(HI$2:HI267)-HI113-HI132-HI147</f>
        <v>866.6666666666666</v>
      </c>
      <c r="HJ271" s="176">
        <f>SUM(HJ$2:HJ267)-HJ113</f>
        <v>166.66666666666666</v>
      </c>
      <c r="HK271" s="177">
        <f>SUM(HK$2:HK267)</f>
        <v>5000</v>
      </c>
      <c r="HL271" s="178">
        <f>SUM(HL$2:HL267)-HL113</f>
        <v>126.66666666666667</v>
      </c>
      <c r="HM271" s="176">
        <f>SUM(HM$2:HM267)-HM72-HM87-HM113-HM131-HM147-HM206</f>
        <v>4813.333333333334</v>
      </c>
      <c r="HN271" s="176">
        <f>SUM(HN$2:HN267)-HN113</f>
        <v>241.6666666666667</v>
      </c>
      <c r="HO271" s="182">
        <f>SUM(HO$2:HO269)-HO30-HO113-HO229</f>
        <v>3533.333333333333</v>
      </c>
      <c r="HP271" s="182">
        <f>SUM(HP$2:HP267)-HP14-HP113</f>
        <v>391.6666666666667</v>
      </c>
      <c r="HQ271" s="182">
        <f>SUM(HQ$2:HQ267)-HQ106</f>
        <v>210.30100334448161</v>
      </c>
      <c r="HR271" s="181">
        <f>SUM(HR$2:HR267)</f>
        <v>466.6</v>
      </c>
      <c r="HS271" s="181">
        <f>SUM(HS$2:HS267)</f>
        <v>186.75</v>
      </c>
      <c r="HT271" s="181">
        <f>SUM(HT$2:HT267)</f>
        <v>7.2</v>
      </c>
      <c r="HU271" s="177">
        <f>SUM(HU$2:HU267)</f>
        <v>92</v>
      </c>
      <c r="HV271" s="177">
        <f>SUM(HV$2:HV267)</f>
        <v>24</v>
      </c>
      <c r="HW271" s="177">
        <f>SUM(HW$2:HW267)</f>
        <v>50</v>
      </c>
      <c r="HX271" s="177">
        <f>SUM(HX$2:HX267)</f>
        <v>4</v>
      </c>
      <c r="HY271" s="177">
        <f>SUM(HY$2:HY267)</f>
        <v>9</v>
      </c>
      <c r="HZ271" s="177">
        <f>SUM(HZ$2:HZ267)</f>
        <v>1</v>
      </c>
      <c r="IA271" s="176">
        <f>SUM(IA$2:IA267)-IA143</f>
        <v>10</v>
      </c>
      <c r="IB271" s="175">
        <f>SUM(IB$2:IB267)</f>
        <v>50</v>
      </c>
      <c r="IC271" s="175">
        <f>SUM(IC$2:IC267)</f>
        <v>100</v>
      </c>
      <c r="ID271" s="175">
        <f>SUM(ID$2:ID267)</f>
        <v>1700</v>
      </c>
      <c r="IE271" s="176">
        <f>SUM(IE$2:IE267)-IE231</f>
        <v>23760</v>
      </c>
      <c r="IF271" s="178">
        <f>SUM(IF$2:IF267)-IF201</f>
        <v>66.66666666666666</v>
      </c>
      <c r="IG271" s="184">
        <f>SUM(IG$2:IG267)</f>
        <v>0.75</v>
      </c>
      <c r="IH271" s="176">
        <f>SUM(IH$2:IH267)-IH113-IH122</f>
        <v>4657.599999999999</v>
      </c>
      <c r="II271" s="176">
        <f>SUM(II$2:II269)-II39-II113-II158-II206-II160</f>
        <v>85.58333333333331</v>
      </c>
      <c r="IJ271" s="185"/>
      <c r="IK271" s="185"/>
    </row>
    <row r="272" spans="1:243" s="198" customFormat="1" ht="9.75">
      <c r="A272" s="187" t="s">
        <v>557</v>
      </c>
      <c r="B272" s="186"/>
      <c r="C272" s="188"/>
      <c r="D272" s="189" t="s">
        <v>558</v>
      </c>
      <c r="E272" s="190"/>
      <c r="F272" s="191">
        <f>SUM(F2:F267)-F6-F8-F146</f>
        <v>150</v>
      </c>
      <c r="G272" s="192">
        <f>SUM(G2:G267)</f>
        <v>1000</v>
      </c>
      <c r="H272" s="191">
        <f>SUM(H2:H267)-H112-H205</f>
        <v>213.33333333333337</v>
      </c>
      <c r="I272" s="193">
        <f>SUM(I5:I265)</f>
        <v>1000</v>
      </c>
      <c r="J272" s="191">
        <f>SUM(J5:J267)-J202-J230</f>
        <v>267.1600000000001</v>
      </c>
      <c r="K272" s="193">
        <f>SUM(K5:K267)</f>
        <v>1600</v>
      </c>
      <c r="L272" s="191">
        <f>SUM(L5:L267)-L112</f>
        <v>44.44444444444444</v>
      </c>
      <c r="M272" s="192">
        <f>SUM(M2:M267)</f>
        <v>30</v>
      </c>
      <c r="N272" s="193">
        <f>SUM(N5:N267)</f>
        <v>425</v>
      </c>
      <c r="O272" s="191">
        <f>SUM(O5:O267)-O105-O112</f>
        <v>56.34336677814938</v>
      </c>
      <c r="P272" s="191">
        <f>SUM(P5:P265)-P112</f>
        <v>45.36666666666667</v>
      </c>
      <c r="Q272" s="191">
        <f>SUM(Q5:Q267)-Q230</f>
        <v>338</v>
      </c>
      <c r="R272" s="191">
        <f>SUM(R5:R270)-R103-R202-R230</f>
        <v>3014.2200000000007</v>
      </c>
      <c r="S272" s="192">
        <f>SUM(S5:S267)</f>
        <v>500</v>
      </c>
      <c r="T272" s="191">
        <f>SUM(T2:T269)-T48-T11-T232</f>
        <v>608.3333333333333</v>
      </c>
      <c r="U272" s="191">
        <f>SUM(U5:U267)-U202-U230</f>
        <v>552.4399999999999</v>
      </c>
      <c r="V272" s="192">
        <f>SUM(V2:V267)</f>
        <v>162</v>
      </c>
      <c r="W272" s="191">
        <f>SUM(W2:W269)-W13</f>
        <v>6000</v>
      </c>
      <c r="X272" s="194">
        <f>SUM(X2:X267)-X15</f>
        <v>0.4</v>
      </c>
      <c r="Y272" s="191">
        <f>SUM(Y2:Y267)-Y18</f>
        <v>0</v>
      </c>
      <c r="Z272" s="193">
        <f>SUM(Z2:Z267)</f>
        <v>1875</v>
      </c>
      <c r="AA272" s="191">
        <f>SUM(AA2:AA267)-AA112</f>
        <v>1200</v>
      </c>
      <c r="AB272" s="193">
        <f>SUM(AB2:AB267)</f>
        <v>2350</v>
      </c>
      <c r="AC272" s="191">
        <f>SUM(AC2:AC267)-AC107-AC244</f>
        <v>161.10000000000002</v>
      </c>
      <c r="AD272" s="191">
        <f>SUM(AD2:AD269)-AD46-AD71-AD205</f>
        <v>950</v>
      </c>
      <c r="AE272" s="191">
        <f>SUM(AE2:AE267)-AE24-AE112</f>
        <v>10933.333333333336</v>
      </c>
      <c r="AF272" s="191">
        <f>SUM(AF5:AF267)-AF142</f>
        <v>60</v>
      </c>
      <c r="AG272" s="194">
        <f>SUM(AG2:AG267)-AG6-AG112-AG146-AG157</f>
        <v>3.083333333333332</v>
      </c>
      <c r="AH272" s="191">
        <f>SUM(AH2:AH267)-AH112-AH142</f>
        <v>1942.2222222222222</v>
      </c>
      <c r="AI272" s="191">
        <f>SUM(AI2:AI267)-AI112</f>
        <v>1006.6666666666666</v>
      </c>
      <c r="AJ272" s="191">
        <f>SUM(AJ2:AJ267)-A18-AJ32-AJ71-AJ86-AJ107-AJ112-AJ164-AJ205-AJ230</f>
        <v>1256.5888888888887</v>
      </c>
      <c r="AK272" s="195">
        <f>SUM(AK2:AK267)</f>
        <v>25</v>
      </c>
      <c r="AL272" s="191">
        <f>SUM(AL2:AL267)-AL136</f>
        <v>815.8141962421712</v>
      </c>
      <c r="AM272" s="191">
        <f>SUM(AM2:AM267)-AM136</f>
        <v>434.19444444444446</v>
      </c>
      <c r="AN272" s="195">
        <f>SUM(AN2:AN267)</f>
        <v>762.0272314674735</v>
      </c>
      <c r="AO272" s="191">
        <f>SUM(AO2:AO267)-AO136-AO256</f>
        <v>1768</v>
      </c>
      <c r="AP272" s="193">
        <f>SUM(AP2:AP267)</f>
        <v>400</v>
      </c>
      <c r="AQ272" s="191">
        <f>SUM(AQ5:AQ267)-AQ86-AQ105-AQ112</f>
        <v>221.8509847640283</v>
      </c>
      <c r="AR272" s="191">
        <f>SUM(AR5:AR267)-AR146</f>
        <v>0</v>
      </c>
      <c r="AS272" s="192">
        <f>SUM(AS5:AS267)</f>
        <v>45</v>
      </c>
      <c r="AT272" s="191">
        <f>SUM(AT$2:AT267)-AT38</f>
        <v>300</v>
      </c>
      <c r="AU272" s="191">
        <f>SUM(AU5:AU267)-AU40-AU112</f>
        <v>1601.7833333333338</v>
      </c>
      <c r="AV272" s="191">
        <f>SUM(AV5:AV265)-AV44-AV112-AG157</f>
        <v>887.0555555555557</v>
      </c>
      <c r="AW272" s="191">
        <f>SUM(AW5:AW267)-AW214</f>
        <v>0</v>
      </c>
      <c r="AX272" s="191">
        <f>SUM(AX2:AX267)-AX44</f>
        <v>175</v>
      </c>
      <c r="AY272" s="191">
        <f>SUM(AY5:AY269)-AY69</f>
        <v>522.4444444444445</v>
      </c>
      <c r="AZ272" s="193">
        <f>SUM(AZ5:AZ269)</f>
        <v>200</v>
      </c>
      <c r="BA272" s="194">
        <f>SUM(BA5:BA267)-BA112-BA157-BA38</f>
        <v>3.1111111111111107</v>
      </c>
      <c r="BB272" s="193">
        <f>SUM(BB2:BB267)</f>
        <v>120</v>
      </c>
      <c r="BC272" s="191">
        <f>SUM(BC2:BC267)-BC50</f>
        <v>2000</v>
      </c>
      <c r="BD272" s="191">
        <f>SUM(BD2:BD267)-BD52</f>
        <v>6000</v>
      </c>
      <c r="BE272" s="191">
        <f>SUM(BE2:BE267)</f>
        <v>688.75</v>
      </c>
      <c r="BF272" s="191">
        <f>SUM(BF2:BF267)-BF202-BF230</f>
        <v>128.32000000000002</v>
      </c>
      <c r="BG272" s="191">
        <f>SUM(BG5:BG267)-BG112</f>
        <v>1466.6666666666667</v>
      </c>
      <c r="BH272" s="193">
        <f>SUM(BH5:BH267)</f>
        <v>0</v>
      </c>
      <c r="BI272" s="191">
        <f>SUM(BI2:BI267)-BI142-BI202</f>
        <v>143.914</v>
      </c>
      <c r="BJ272" s="191">
        <f>SUM(BJ2:BJ269)-BJ18-BJ232</f>
        <v>50</v>
      </c>
      <c r="BK272" s="194">
        <f>SUM(BK2:BK265)-BK248</f>
        <v>2</v>
      </c>
      <c r="BL272" s="191">
        <f>SUM(BL2:BL267)-BL211</f>
        <v>750</v>
      </c>
      <c r="BM272" s="191">
        <f>SUM(BM5:BM267)-BM55-BM56</f>
        <v>25</v>
      </c>
      <c r="BN272" s="193">
        <f>SUM(BN2:BN267)</f>
        <v>100</v>
      </c>
      <c r="BO272" s="191">
        <f>SUM(BO2:BO267)-BO60-BO112</f>
        <v>56</v>
      </c>
      <c r="BP272" s="193">
        <f>SUM(BP2:BP267)</f>
        <v>28</v>
      </c>
      <c r="BQ272" s="191">
        <f>SUM(BQ2:BQ267)-BQ64</f>
        <v>370</v>
      </c>
      <c r="BR272" s="191">
        <f>SUM(BR5:BR267)-BR142</f>
        <v>37.5</v>
      </c>
      <c r="BS272" s="193">
        <f>SUM(BS2:BS267)</f>
        <v>200</v>
      </c>
      <c r="BT272" s="191">
        <f>SUM(BT2:BT267)-BT112</f>
        <v>0</v>
      </c>
      <c r="BU272" s="191">
        <f>SUM(BU2:BU269)-BU105-BU232</f>
        <v>40</v>
      </c>
      <c r="BV272" s="175">
        <f>SUM(BV2:BV270)</f>
        <v>240</v>
      </c>
      <c r="BW272" s="191">
        <f>SUM(BW2:BW267)-BW211</f>
        <v>1050</v>
      </c>
      <c r="BX272" s="191">
        <f>SUM(BX2:BX267)-BX105-BX112</f>
        <v>411.0334448160536</v>
      </c>
      <c r="BY272" s="196">
        <f>SUM(BY2:BY270)-BY232</f>
        <v>0</v>
      </c>
      <c r="BZ272" s="191">
        <f>SUM(BZ2:BZ267)-BZ112-CA205</f>
        <v>56.29261198371146</v>
      </c>
      <c r="CA272" s="191">
        <f>SUM(CA2:CA267)-CA112-CA205</f>
        <v>2.197789412449098</v>
      </c>
      <c r="CB272" s="191">
        <f>SUM(CB2:CB267)-CB74-CB112-CB250</f>
        <v>1155.5555555555557</v>
      </c>
      <c r="CC272" s="175">
        <f>SUM(CC2:CC270)</f>
        <v>40</v>
      </c>
      <c r="CD272" s="175">
        <f>SUM(CD2:CD270)</f>
        <v>0</v>
      </c>
      <c r="CE272" s="191">
        <f>SUM(CE2:CE265)-CE112</f>
        <v>838.8888888888889</v>
      </c>
      <c r="CF272" s="191">
        <f>SUM(CF2:CF265)-CF78</f>
        <v>3200</v>
      </c>
      <c r="CG272" s="191">
        <f>SUM(CG2:CG267)-CG8-CG42</f>
        <v>570</v>
      </c>
      <c r="CH272" s="191">
        <f>SUM(CH2:CH265)-CH86-CH112</f>
        <v>8.333333333333336</v>
      </c>
      <c r="CI272" s="192">
        <f>SUM(CI5:CI265)</f>
        <v>1550</v>
      </c>
      <c r="CJ272" s="191">
        <f>SUM(CJ2:CJ265)-CJ202</f>
        <v>35.224000000000004</v>
      </c>
      <c r="CK272" s="191">
        <f>SUM(CK2:CK269)-CK8-CK48-CK112-CK214-CK232</f>
        <v>123.0555555555556</v>
      </c>
      <c r="CL272" s="191">
        <f>SUM(CL2:CL269)-CL105-CL232</f>
        <v>288</v>
      </c>
      <c r="CM272" s="193">
        <f>SUM(CM2:CM265)</f>
        <v>1200</v>
      </c>
      <c r="CN272" s="191">
        <f>SUM(CN2:CN267)</f>
        <v>0</v>
      </c>
      <c r="CO272" s="193">
        <f>SUM(CO2:CO267)</f>
        <v>0</v>
      </c>
      <c r="CP272" s="191">
        <f>SUM(CP5:CP267)-CP112</f>
        <v>221.5355952380952</v>
      </c>
      <c r="CQ272" s="191">
        <f>SUM(CQ2:CQ269)-CQ69-CQ200</f>
        <v>533.3333333333334</v>
      </c>
      <c r="CR272" s="191">
        <f>SUM(CR2:CR267)-CR6-CR8</f>
        <v>750</v>
      </c>
      <c r="CS272" s="191">
        <f>SUM(CS2:CS267)-CS6-CS8</f>
        <v>750</v>
      </c>
      <c r="CT272" s="191">
        <f>SUM(CT2:CT267)-CT8-CT42</f>
        <v>630</v>
      </c>
      <c r="CU272" s="191">
        <f>SUM(CU2:CU269)-CU109-CU202-CU230</f>
        <v>855.96</v>
      </c>
      <c r="CV272" s="191">
        <f>SUM(CV2:CV267)-CV48</f>
        <v>400</v>
      </c>
      <c r="CW272" s="191">
        <f>SUM(CW2:CW267)-CW202-CW230</f>
        <v>545.1533434190619</v>
      </c>
      <c r="CX272" s="193">
        <f>SUM(CX2:CX267)</f>
        <v>1150</v>
      </c>
      <c r="CY272" s="191">
        <f>SUM(CY2:CY265)-CY202</f>
        <v>36.962</v>
      </c>
      <c r="CZ272" s="193">
        <f>SUM(CZ2:CZ267)</f>
        <v>250</v>
      </c>
      <c r="DA272" s="191">
        <f>SUM(DA2:DA267)-DA88</f>
        <v>500</v>
      </c>
      <c r="DB272" s="191">
        <f>SUM(DB2:DB267)-DB46-DB71-DB91-DB112-DB205</f>
        <v>823.1111111111112</v>
      </c>
      <c r="DC272" s="191">
        <f>SUM(DC1:DC267)-DC202-DC230</f>
        <v>135.6</v>
      </c>
      <c r="DD272" s="191">
        <f>SUM(DD2:DD267)-DD226</f>
        <v>0</v>
      </c>
      <c r="DE272" s="191">
        <f>SUM(DE2:DE267)</f>
        <v>180</v>
      </c>
      <c r="DF272" s="193">
        <f>SUM(DF2:DF267)</f>
        <v>0</v>
      </c>
      <c r="DG272" s="191">
        <f>SUM(DG2:DG267)-DG95-DG112-DG129-DG130</f>
        <v>851.1111111111111</v>
      </c>
      <c r="DH272" s="193">
        <f>SUM(DH2:DH267)</f>
        <v>800</v>
      </c>
      <c r="DI272" s="191">
        <f>SUM(DI2:DI265)-DI112</f>
        <v>35.33333333333334</v>
      </c>
      <c r="DJ272" s="193">
        <f>SUM(DJ2:DJ265)</f>
        <v>0</v>
      </c>
      <c r="DK272" s="194">
        <f>SUM(DK$2:DK267)-DK97</f>
        <v>5</v>
      </c>
      <c r="DL272" s="191">
        <f>SUM(DL$2:DL267)-DL28-DL202-DL230</f>
        <v>255.09333333333328</v>
      </c>
      <c r="DM272" s="191">
        <f>SUM(DM$2:DM267)-DL28-DM202-DM230</f>
        <v>436.96000000000004</v>
      </c>
      <c r="DN272" s="191">
        <f>SUM(DN$2:DN267)-DN230</f>
        <v>161.28000000000003</v>
      </c>
      <c r="DO272" s="192">
        <f>SUM(DO$2:DO267)-DO214</f>
        <v>0</v>
      </c>
      <c r="DP272" s="192">
        <f>SUM(DP$2:DP267)-DP214</f>
        <v>500</v>
      </c>
      <c r="DQ272" s="191">
        <f>SUM(DQ$2:DQ267)-DQ142</f>
        <v>537.5</v>
      </c>
      <c r="DR272" s="193">
        <f>SUM(DR$2:DR267)</f>
        <v>99.9</v>
      </c>
      <c r="DS272" s="177">
        <f>SUM(DS$2:DS268)</f>
        <v>300</v>
      </c>
      <c r="DT272" s="191">
        <f>SUM(DT$2:DT267)-DT112-DT121</f>
        <v>25.206666666666663</v>
      </c>
      <c r="DU272" s="191">
        <f>SUM(DU$2:DU267)-DU112-DU136-DU191</f>
        <v>17.555555555555557</v>
      </c>
      <c r="DV272" s="191">
        <f>SUM(DV$2:DV267)-DV112-DV121-DV146</f>
        <v>13.053333333333335</v>
      </c>
      <c r="DW272" s="191">
        <f>SUM(DW$2:DW267)-DW214</f>
        <v>0</v>
      </c>
      <c r="DX272" s="191">
        <f>SUM(DX$2:DX267)-DX112-DX124-DX129-DX130-DX205</f>
        <v>910.6133333333332</v>
      </c>
      <c r="DY272" s="194">
        <f>SUM(DY$2:DY267)-DY112-DY205-DY157</f>
        <v>5.494444444444445</v>
      </c>
      <c r="DZ272" s="191">
        <f>SUM(DZ$2:DZ269)-DZ129-DZ130</f>
        <v>20</v>
      </c>
      <c r="EA272" s="191">
        <f>SUM(EA$2:EA267)-EA254</f>
        <v>1000</v>
      </c>
      <c r="EB272" s="191">
        <f>SUM(EB$2:EB267)-EB202-EB230</f>
        <v>103.76</v>
      </c>
      <c r="EC272" s="191">
        <f>SUM(EC$2:EC267)-EC6-EC138</f>
        <v>2500</v>
      </c>
      <c r="ED272" s="191">
        <f>SUM(ED$2:ED267)-ED112-ED157</f>
        <v>138.88888888888886</v>
      </c>
      <c r="EE272" s="191">
        <f>SUM(EE$2:EE269)-EE214-EE232</f>
        <v>0</v>
      </c>
      <c r="EF272" s="191">
        <f>SUM(EF$2:EF267)-EF8-EF149</f>
        <v>762.5</v>
      </c>
      <c r="EG272" s="191">
        <f>SUM(EG$2:EG267)-EG146-EG214</f>
        <v>0</v>
      </c>
      <c r="EH272" s="191">
        <f>SUM(EH$2:EH267)-EH8</f>
        <v>1375</v>
      </c>
      <c r="EI272" s="191">
        <f>SUM(EI$2:EI267)-EI152</f>
        <v>319.99999999999994</v>
      </c>
      <c r="EJ272" s="191">
        <f>SUM(EJ$2:EJ267)-EJ142</f>
        <v>181</v>
      </c>
      <c r="EK272" s="191">
        <f>SUM(EK$2:EK267)-EK112-EK211</f>
        <v>462.5</v>
      </c>
      <c r="EL272" s="192">
        <f>SUM(EL$2:EL267)</f>
        <v>1000</v>
      </c>
      <c r="EM272" s="192">
        <f>SUM(EM$2:EM267)-EM154</f>
        <v>90</v>
      </c>
      <c r="EN272" s="191">
        <f>SUM(EN$2:EN267)-E115</f>
        <v>1.2999999999999998</v>
      </c>
      <c r="EO272" s="191">
        <f>SUM(EO$2:EO267)</f>
        <v>0</v>
      </c>
      <c r="EP272" s="191">
        <f>SUM(EP$2:EP267)-EP112</f>
        <v>0</v>
      </c>
      <c r="EQ272" s="193">
        <f>SUM(EQ$2:EQ267)</f>
        <v>200</v>
      </c>
      <c r="ER272" s="191">
        <f>SUM(ER$2:ER267)-ER214</f>
        <v>11</v>
      </c>
      <c r="ES272" s="191">
        <f>SUM(ES$2:ES267)-ES202-ES230</f>
        <v>219.84000000000003</v>
      </c>
      <c r="ET272" s="192">
        <f>SUM(ET$2:ET267)-ET167</f>
        <v>8</v>
      </c>
      <c r="EU272" s="191">
        <f>SUM(EU$2:EU267)-EU48-EU105-EU107-EU112-EU167</f>
        <v>1523.6276477146043</v>
      </c>
      <c r="EV272" s="191">
        <f>SUM(EV$2:EV267)-EV107</f>
        <v>1000</v>
      </c>
      <c r="EW272" s="191">
        <f>SUM(EW$2:EW267)-EW107</f>
        <v>700</v>
      </c>
      <c r="EX272" s="191">
        <f>SUM(EX$2:EX267)-EX167-EX48</f>
        <v>266.66666666666674</v>
      </c>
      <c r="EY272" s="191">
        <f>SUM(EY$2:EY267)-EY107-EY230</f>
        <v>411.5</v>
      </c>
      <c r="EZ272" s="191">
        <f>SUM(EZ$2:EZ269)-EZ146</f>
        <v>0</v>
      </c>
      <c r="FA272" s="191">
        <f>SUM(FA$2:FA269)-FA232</f>
        <v>0</v>
      </c>
      <c r="FB272" s="193">
        <f>SUM(FB$2:FB267)</f>
        <v>0</v>
      </c>
      <c r="FC272" s="191">
        <f>SUM(FC$2:FC269)-FC48-FC70-FC112</f>
        <v>1222.3833333333334</v>
      </c>
      <c r="FD272" s="196">
        <f>SUM(FD$2:FD270)-FD69-FD112-FD142-FD172</f>
        <v>1207.7777777777776</v>
      </c>
      <c r="FE272" s="191">
        <f>SUM(FE$2:FE267)-FE107-FE112-FE205-FE260</f>
        <v>1749.6222222222223</v>
      </c>
      <c r="FF272" s="193">
        <f>SUM(FF$2:FF267)</f>
        <v>0</v>
      </c>
      <c r="FG272" s="191">
        <f>SUM(FG$2:FG267)-FG174</f>
        <v>100</v>
      </c>
      <c r="FH272" s="191">
        <f>SUM(FH$2:FH267)-FH86-FH105-FH112</f>
        <v>234.8848011891491</v>
      </c>
      <c r="FI272" s="191">
        <f>SUM(FI$2:FI267)-FI202-FI230</f>
        <v>271.44000000000005</v>
      </c>
      <c r="FJ272" s="195">
        <f>SUM(FJ$2:FJ267)</f>
        <v>2000</v>
      </c>
      <c r="FK272" s="197">
        <f>SUM(FK$2:FK267)-FK32</f>
        <v>1590</v>
      </c>
      <c r="FL272" s="197">
        <f>SUM(FL$2:FL267)-FL184-FL186</f>
        <v>370</v>
      </c>
      <c r="FM272" s="197">
        <f>SUM(FM$2:FM267)-FM136-FM264</f>
        <v>742.5</v>
      </c>
      <c r="FN272" s="191">
        <f>SUM(FN$2:FN267)-FN86-FN184-FN186-FN266</f>
        <v>581</v>
      </c>
      <c r="FO272" s="191">
        <f>SUM(FO$2:FO269)-FO136-FO222</f>
        <v>362.5</v>
      </c>
      <c r="FP272" s="191">
        <f>SUM(FP$2:FP267)-FP62</f>
        <v>4000</v>
      </c>
      <c r="FQ272" s="191">
        <f>SUM(FQ$2:FQ267)-FQ188</f>
        <v>800</v>
      </c>
      <c r="FR272" s="191">
        <f>SUM(FR$2:FR267)-FR205</f>
        <v>116.99999999999997</v>
      </c>
      <c r="FS272" s="191">
        <f>SUM(FS$2:FS267)-FS1244-FS191-FS211</f>
        <v>254.9666666666667</v>
      </c>
      <c r="FT272" s="191">
        <f>SUM(FT$2:FT267)-FT193-FT205</f>
        <v>1005</v>
      </c>
      <c r="FU272" s="177">
        <f>SUM(FU$2:FU268)</f>
        <v>400</v>
      </c>
      <c r="FV272" s="191">
        <f>SUM(FV$2:FV267)-FV146</f>
        <v>0</v>
      </c>
      <c r="FW272" s="193">
        <f>SUM(FW$2:FW267)</f>
        <v>450</v>
      </c>
      <c r="FX272" s="193">
        <f>SUM(FX$2:FX267)</f>
        <v>25</v>
      </c>
      <c r="FY272" s="191">
        <f>SUM(FY$2:FY267)-FY112</f>
        <v>219.44444444444446</v>
      </c>
      <c r="FZ272" s="191">
        <f>SUM(FZ$2:FZ267)-FZ112</f>
        <v>72.22222222222223</v>
      </c>
      <c r="GA272" s="191">
        <f>SUM(GA$2:GA267)-GA112</f>
        <v>72.22222222222223</v>
      </c>
      <c r="GB272" s="191">
        <f>SUM(GB$2:GB265)-GB202-GB230</f>
        <v>271.49333333333334</v>
      </c>
      <c r="GC272" s="191">
        <f>SUM(GC$2:GC267)-GC112-GC211</f>
        <v>99.44444444444444</v>
      </c>
      <c r="GD272" s="193">
        <f>SUM(GD$2:GD267)</f>
        <v>536</v>
      </c>
      <c r="GE272" s="193">
        <f>SUM(GE$2:GE267)</f>
        <v>38.879999999999995</v>
      </c>
      <c r="GF272" s="192">
        <f>SUM(GF$2:GF267)</f>
        <v>5</v>
      </c>
      <c r="GG272" s="191">
        <f>SUM(GG$2:GG267)-GG105-GG112</f>
        <v>851.8914901523598</v>
      </c>
      <c r="GH272" s="191">
        <f>SUM(GH$2:GH267)-GH136-GH200</f>
        <v>891.6666666666667</v>
      </c>
      <c r="GI272" s="191">
        <f>SUM(GI$2:GI267)-GI18-GI230</f>
        <v>64.8</v>
      </c>
      <c r="GJ272" s="193">
        <f>SUM(GJ$2:GJ267)</f>
        <v>435</v>
      </c>
      <c r="GK272" s="193">
        <f>SUM(GK$2:GK267)</f>
        <v>100</v>
      </c>
      <c r="GL272" s="191">
        <f>SUM(GL$2:GL267)-GL142</f>
        <v>711.5</v>
      </c>
      <c r="GM272" s="197">
        <f>SUM(GM$2:GM267)-GM112</f>
        <v>3088.8888888888887</v>
      </c>
      <c r="GN272" s="193">
        <f>SUM(GN$2:GN267)</f>
        <v>200</v>
      </c>
      <c r="GO272" s="191">
        <f>SUM(GO$2:GO267)-GO112-GO218</f>
        <v>56</v>
      </c>
      <c r="GP272" s="191">
        <f>SUM(GP$2:GP267)-GP202-GP230</f>
        <v>260.0799999999999</v>
      </c>
      <c r="GQ272" s="191">
        <f>SUM(GQ$2:GQ269)-GQ222-GQ232</f>
        <v>0</v>
      </c>
      <c r="GR272" s="191">
        <f>SUM(GR$2:GR267)-GR112</f>
        <v>2044.4444444444441</v>
      </c>
      <c r="GS272" s="191">
        <f>SUM(GS$2:GS267)-GS202-GS230</f>
        <v>84.16</v>
      </c>
      <c r="GT272" s="191">
        <f>SUM(GT$2:GT267)-GT202-GT119-GT230</f>
        <v>1092.4</v>
      </c>
      <c r="GU272" s="191">
        <f>SUM(GU$2:GU267)-GU28-GU202-GU230</f>
        <v>286.43999999999994</v>
      </c>
      <c r="GV272" s="194">
        <f>SUM(GV$2:GV267)-GV157-GV224</f>
        <v>6.5</v>
      </c>
      <c r="GW272" s="194">
        <f>SUM(GW$2:GW267)-GW48</f>
        <v>18.333333333333336</v>
      </c>
      <c r="GX272" s="191">
        <f>SUM(GX$2:GX267)-GX112</f>
        <v>1022.2222222222224</v>
      </c>
      <c r="GY272" s="191">
        <f>SUM(GY$2:GY267)-GY136</f>
        <v>662.5</v>
      </c>
      <c r="GZ272" s="191">
        <f>SUM(GZ$2:GZ267)-GZ112-GZ136</f>
        <v>663.0555555555555</v>
      </c>
      <c r="HA272" s="191">
        <f>SUM(HA$2:HA267)-HA112</f>
        <v>222.2222222222222</v>
      </c>
      <c r="HB272" s="191">
        <f>SUM(HB$2:HB267)-HB112</f>
        <v>1433.2444444444445</v>
      </c>
      <c r="HC272" s="191">
        <f>SUM(HC$2:HC267)-HC112-HC129</f>
        <v>376.8666666666667</v>
      </c>
      <c r="HD272" s="191">
        <f>SUM(HD$2:HD267)-HD112</f>
        <v>127.22222222222224</v>
      </c>
      <c r="HE272" s="191">
        <f>SUM(HE$2:HE267)-HE164-HE107-HE112</f>
        <v>1341.166666666667</v>
      </c>
      <c r="HF272" s="191">
        <f>SUM(HF$2:HF267)-HF112</f>
        <v>25.11111111111111</v>
      </c>
      <c r="HG272" s="191">
        <f>SUM(HG$2:HG267)-HG262</f>
        <v>320</v>
      </c>
      <c r="HH272" s="191">
        <f>SUM(HH$2:HH267)-HH28-HH112</f>
        <v>44.44444444444444</v>
      </c>
      <c r="HI272" s="191">
        <f>SUM(HI$2:HI267)-HI112-HI129</f>
        <v>611.1111111111111</v>
      </c>
      <c r="HJ272" s="191">
        <f>SUM(HJ$2:HJ267)-HJ112</f>
        <v>111.11111111111111</v>
      </c>
      <c r="HK272" s="193">
        <f>SUM(HK$2:HK267)</f>
        <v>5000</v>
      </c>
      <c r="HL272" s="191">
        <f>SUM(HL$2:HL267)-HL112</f>
        <v>104.44444444444444</v>
      </c>
      <c r="HM272" s="191">
        <f>SUM(HM$2:HM267)-HM71-HM86-HM112-HM129-HM205</f>
        <v>3568.8888888888896</v>
      </c>
      <c r="HN272" s="191">
        <f>SUM(HN$2:HN267)-HN112</f>
        <v>186.11111111111114</v>
      </c>
      <c r="HO272" s="197">
        <f>SUM(HO$2:HO269)-HO112-HO228</f>
        <v>3355.5555555555557</v>
      </c>
      <c r="HP272" s="197">
        <f>SUM(HP$2:HP267)-HP13-HP112</f>
        <v>277.77777777777777</v>
      </c>
      <c r="HQ272" s="197">
        <f>SUM(HQ$2:HQ267)-HQ105</f>
        <v>180.2006688963211</v>
      </c>
      <c r="HR272" s="195">
        <f>SUM(HR$2:HR267)</f>
        <v>466.6</v>
      </c>
      <c r="HS272" s="195">
        <f>SUM(HS$2:HS267)</f>
        <v>186.75</v>
      </c>
      <c r="HT272" s="195">
        <f>SUM(HT$2:HT267)</f>
        <v>7.2</v>
      </c>
      <c r="HU272" s="193">
        <f>SUM(HU$2:HU267)</f>
        <v>92</v>
      </c>
      <c r="HV272" s="193">
        <f>SUM(HV$2:HV267)</f>
        <v>24</v>
      </c>
      <c r="HW272" s="193">
        <f>SUM(HW$2:HW267)</f>
        <v>50</v>
      </c>
      <c r="HX272" s="193">
        <f>SUM(HX$2:HX267)</f>
        <v>4</v>
      </c>
      <c r="HY272" s="193">
        <f>SUM(HY$2:HY267)</f>
        <v>9</v>
      </c>
      <c r="HZ272" s="193">
        <f>SUM(HZ$2:HZ267)</f>
        <v>1</v>
      </c>
      <c r="IA272" s="191">
        <f>SUM(IA$2:IA267)-IA142</f>
        <v>30</v>
      </c>
      <c r="IB272" s="192">
        <f>SUM(IB$2:IB267)</f>
        <v>50</v>
      </c>
      <c r="IC272" s="192">
        <f>SUM(IC$2:IC267)</f>
        <v>100</v>
      </c>
      <c r="ID272" s="192">
        <f>SUM(ID$2:ID267)</f>
        <v>1700</v>
      </c>
      <c r="IE272" s="191">
        <f>SUM(IE$2:IE267)-IE230</f>
        <v>15840</v>
      </c>
      <c r="IF272" s="191">
        <f>SUM(IF$2:IF267)-IF200</f>
        <v>33.33333333333333</v>
      </c>
      <c r="IG272" s="192">
        <f>SUM(IG$2:IG269)-IG232</f>
        <v>0</v>
      </c>
      <c r="IH272" s="191">
        <f>SUM(IH$2:IH267)-IH112-IH121</f>
        <v>4355.066666666666</v>
      </c>
      <c r="II272" s="191">
        <f>SUM(II$2:II269)-II38-II112-II205-II157-II214-II159</f>
        <v>75.22222222222221</v>
      </c>
    </row>
    <row r="273" spans="1:243" s="35" customFormat="1" ht="130.5" customHeight="1">
      <c r="A273" s="5" t="s">
        <v>0</v>
      </c>
      <c r="B273" s="6" t="s">
        <v>1</v>
      </c>
      <c r="C273" s="7" t="s">
        <v>2</v>
      </c>
      <c r="D273" s="5" t="s">
        <v>3</v>
      </c>
      <c r="E273" s="5" t="s">
        <v>559</v>
      </c>
      <c r="F273" s="6" t="s">
        <v>5</v>
      </c>
      <c r="G273" s="6" t="s">
        <v>6</v>
      </c>
      <c r="H273" s="8" t="s">
        <v>7</v>
      </c>
      <c r="I273" s="8" t="s">
        <v>8</v>
      </c>
      <c r="J273" s="8" t="s">
        <v>9</v>
      </c>
      <c r="K273" s="8" t="s">
        <v>10</v>
      </c>
      <c r="L273" s="11" t="s">
        <v>11</v>
      </c>
      <c r="M273" s="9" t="s">
        <v>12</v>
      </c>
      <c r="N273" s="10" t="s">
        <v>13</v>
      </c>
      <c r="O273" s="11" t="s">
        <v>14</v>
      </c>
      <c r="P273" s="11" t="s">
        <v>15</v>
      </c>
      <c r="Q273" s="11" t="s">
        <v>16</v>
      </c>
      <c r="R273" s="11" t="s">
        <v>17</v>
      </c>
      <c r="S273" s="11" t="s">
        <v>560</v>
      </c>
      <c r="T273" s="11" t="s">
        <v>561</v>
      </c>
      <c r="U273" s="11" t="s">
        <v>20</v>
      </c>
      <c r="V273" s="11" t="s">
        <v>21</v>
      </c>
      <c r="W273" s="11" t="s">
        <v>22</v>
      </c>
      <c r="X273" s="11" t="s">
        <v>23</v>
      </c>
      <c r="Y273" s="199" t="s">
        <v>24</v>
      </c>
      <c r="Z273" s="11" t="s">
        <v>25</v>
      </c>
      <c r="AA273" s="11" t="s">
        <v>26</v>
      </c>
      <c r="AB273" s="9" t="s">
        <v>27</v>
      </c>
      <c r="AC273" s="11" t="s">
        <v>562</v>
      </c>
      <c r="AD273" s="11" t="s">
        <v>29</v>
      </c>
      <c r="AE273" s="11" t="s">
        <v>30</v>
      </c>
      <c r="AF273" s="11" t="s">
        <v>31</v>
      </c>
      <c r="AG273" s="11" t="s">
        <v>32</v>
      </c>
      <c r="AH273" s="11" t="s">
        <v>33</v>
      </c>
      <c r="AI273" s="11" t="s">
        <v>34</v>
      </c>
      <c r="AJ273" s="9" t="s">
        <v>35</v>
      </c>
      <c r="AK273" s="9" t="s">
        <v>36</v>
      </c>
      <c r="AL273" s="8" t="s">
        <v>563</v>
      </c>
      <c r="AM273" s="8" t="s">
        <v>564</v>
      </c>
      <c r="AN273" s="11" t="s">
        <v>565</v>
      </c>
      <c r="AO273" s="11" t="s">
        <v>40</v>
      </c>
      <c r="AP273" s="11" t="s">
        <v>566</v>
      </c>
      <c r="AQ273" s="11" t="s">
        <v>567</v>
      </c>
      <c r="AR273" s="11" t="s">
        <v>43</v>
      </c>
      <c r="AS273" s="11" t="s">
        <v>44</v>
      </c>
      <c r="AT273" s="11" t="s">
        <v>45</v>
      </c>
      <c r="AU273" s="11" t="s">
        <v>46</v>
      </c>
      <c r="AV273" s="11" t="s">
        <v>568</v>
      </c>
      <c r="AW273" s="11" t="s">
        <v>48</v>
      </c>
      <c r="AX273" s="11" t="s">
        <v>49</v>
      </c>
      <c r="AY273" s="11"/>
      <c r="AZ273" s="11" t="s">
        <v>51</v>
      </c>
      <c r="BA273" s="11" t="s">
        <v>52</v>
      </c>
      <c r="BB273" s="11" t="s">
        <v>53</v>
      </c>
      <c r="BC273" s="11" t="s">
        <v>54</v>
      </c>
      <c r="BD273" s="11" t="s">
        <v>55</v>
      </c>
      <c r="BE273" s="6" t="s">
        <v>56</v>
      </c>
      <c r="BF273" s="11" t="s">
        <v>57</v>
      </c>
      <c r="BG273" s="6" t="s">
        <v>58</v>
      </c>
      <c r="BH273" s="11" t="s">
        <v>59</v>
      </c>
      <c r="BI273" s="11" t="s">
        <v>60</v>
      </c>
      <c r="BJ273" s="11" t="s">
        <v>61</v>
      </c>
      <c r="BK273" s="11" t="s">
        <v>62</v>
      </c>
      <c r="BL273" s="11" t="s">
        <v>63</v>
      </c>
      <c r="BM273" s="11" t="s">
        <v>64</v>
      </c>
      <c r="BN273" s="11" t="s">
        <v>65</v>
      </c>
      <c r="BO273" s="11" t="s">
        <v>66</v>
      </c>
      <c r="BP273" s="12" t="s">
        <v>67</v>
      </c>
      <c r="BQ273" s="11" t="s">
        <v>68</v>
      </c>
      <c r="BR273" s="11" t="s">
        <v>69</v>
      </c>
      <c r="BS273" s="11" t="s">
        <v>70</v>
      </c>
      <c r="BT273" s="11" t="s">
        <v>71</v>
      </c>
      <c r="BU273" s="11" t="s">
        <v>72</v>
      </c>
      <c r="BV273" s="11" t="s">
        <v>73</v>
      </c>
      <c r="BW273" s="11" t="s">
        <v>74</v>
      </c>
      <c r="BX273" s="9" t="s">
        <v>75</v>
      </c>
      <c r="BY273" s="9" t="s">
        <v>76</v>
      </c>
      <c r="BZ273" s="9" t="s">
        <v>77</v>
      </c>
      <c r="CA273" s="9" t="s">
        <v>78</v>
      </c>
      <c r="CB273" s="11" t="s">
        <v>79</v>
      </c>
      <c r="CC273" s="9" t="s">
        <v>80</v>
      </c>
      <c r="CD273" s="11" t="s">
        <v>81</v>
      </c>
      <c r="CE273" s="11" t="s">
        <v>82</v>
      </c>
      <c r="CF273" s="11" t="s">
        <v>83</v>
      </c>
      <c r="CG273" s="6" t="s">
        <v>84</v>
      </c>
      <c r="CH273" s="11" t="s">
        <v>569</v>
      </c>
      <c r="CI273" s="11" t="s">
        <v>86</v>
      </c>
      <c r="CJ273" s="11" t="s">
        <v>87</v>
      </c>
      <c r="CK273" s="11" t="s">
        <v>570</v>
      </c>
      <c r="CL273" s="11" t="s">
        <v>89</v>
      </c>
      <c r="CM273" s="6" t="s">
        <v>571</v>
      </c>
      <c r="CN273" s="11" t="s">
        <v>91</v>
      </c>
      <c r="CO273" s="11" t="s">
        <v>92</v>
      </c>
      <c r="CP273" s="11" t="s">
        <v>572</v>
      </c>
      <c r="CQ273" s="11" t="s">
        <v>94</v>
      </c>
      <c r="CR273" s="11" t="s">
        <v>95</v>
      </c>
      <c r="CS273" s="11" t="s">
        <v>96</v>
      </c>
      <c r="CT273" s="11" t="s">
        <v>97</v>
      </c>
      <c r="CU273" s="11" t="s">
        <v>98</v>
      </c>
      <c r="CV273" s="11" t="s">
        <v>99</v>
      </c>
      <c r="CW273" s="11" t="s">
        <v>100</v>
      </c>
      <c r="CX273" s="11" t="s">
        <v>101</v>
      </c>
      <c r="CY273" s="11" t="s">
        <v>102</v>
      </c>
      <c r="CZ273" s="11" t="s">
        <v>103</v>
      </c>
      <c r="DA273" s="6" t="s">
        <v>104</v>
      </c>
      <c r="DB273" s="6" t="s">
        <v>105</v>
      </c>
      <c r="DC273" s="6" t="s">
        <v>106</v>
      </c>
      <c r="DD273" s="13" t="s">
        <v>107</v>
      </c>
      <c r="DE273" s="6" t="s">
        <v>108</v>
      </c>
      <c r="DF273" s="6" t="s">
        <v>109</v>
      </c>
      <c r="DG273" s="6" t="s">
        <v>110</v>
      </c>
      <c r="DH273" s="6" t="s">
        <v>111</v>
      </c>
      <c r="DI273" s="6" t="s">
        <v>112</v>
      </c>
      <c r="DJ273" s="6" t="s">
        <v>113</v>
      </c>
      <c r="DK273" s="6" t="s">
        <v>114</v>
      </c>
      <c r="DL273" s="6" t="s">
        <v>115</v>
      </c>
      <c r="DM273" s="6" t="s">
        <v>116</v>
      </c>
      <c r="DN273" s="6" t="s">
        <v>117</v>
      </c>
      <c r="DO273" s="6" t="s">
        <v>118</v>
      </c>
      <c r="DP273" s="6" t="s">
        <v>119</v>
      </c>
      <c r="DQ273" s="6" t="s">
        <v>573</v>
      </c>
      <c r="DR273" s="6" t="s">
        <v>121</v>
      </c>
      <c r="DS273" s="6" t="s">
        <v>122</v>
      </c>
      <c r="DT273" s="6" t="s">
        <v>574</v>
      </c>
      <c r="DU273" s="6" t="s">
        <v>124</v>
      </c>
      <c r="DV273" s="6" t="s">
        <v>125</v>
      </c>
      <c r="DW273" s="6" t="s">
        <v>126</v>
      </c>
      <c r="DX273" s="6" t="s">
        <v>127</v>
      </c>
      <c r="DY273" s="6" t="s">
        <v>128</v>
      </c>
      <c r="DZ273" s="6" t="s">
        <v>129</v>
      </c>
      <c r="EA273" s="11" t="s">
        <v>575</v>
      </c>
      <c r="EB273" s="6" t="s">
        <v>131</v>
      </c>
      <c r="EC273" s="6" t="s">
        <v>132</v>
      </c>
      <c r="ED273" s="6" t="s">
        <v>576</v>
      </c>
      <c r="EE273" s="6" t="s">
        <v>134</v>
      </c>
      <c r="EF273" s="6" t="s">
        <v>577</v>
      </c>
      <c r="EG273" s="6" t="s">
        <v>136</v>
      </c>
      <c r="EH273" s="6" t="s">
        <v>137</v>
      </c>
      <c r="EI273" s="6" t="s">
        <v>138</v>
      </c>
      <c r="EJ273" s="6" t="s">
        <v>578</v>
      </c>
      <c r="EK273" s="6" t="s">
        <v>579</v>
      </c>
      <c r="EL273" s="6" t="s">
        <v>141</v>
      </c>
      <c r="EM273" s="6" t="s">
        <v>142</v>
      </c>
      <c r="EN273" s="6" t="s">
        <v>580</v>
      </c>
      <c r="EO273" s="6" t="s">
        <v>144</v>
      </c>
      <c r="EP273" s="6" t="s">
        <v>581</v>
      </c>
      <c r="EQ273" s="6" t="s">
        <v>146</v>
      </c>
      <c r="ER273" s="14" t="s">
        <v>147</v>
      </c>
      <c r="ES273" s="6" t="s">
        <v>148</v>
      </c>
      <c r="ET273" s="6" t="s">
        <v>582</v>
      </c>
      <c r="EU273" s="6" t="s">
        <v>150</v>
      </c>
      <c r="EV273" s="6" t="s">
        <v>151</v>
      </c>
      <c r="EW273" s="6" t="s">
        <v>152</v>
      </c>
      <c r="EX273" s="6" t="s">
        <v>583</v>
      </c>
      <c r="EY273" s="6" t="s">
        <v>154</v>
      </c>
      <c r="EZ273" s="6" t="s">
        <v>155</v>
      </c>
      <c r="FA273" s="6" t="s">
        <v>156</v>
      </c>
      <c r="FB273" s="6" t="s">
        <v>157</v>
      </c>
      <c r="FC273" s="11" t="s">
        <v>158</v>
      </c>
      <c r="FD273" s="11" t="s">
        <v>159</v>
      </c>
      <c r="FE273" s="6" t="s">
        <v>160</v>
      </c>
      <c r="FF273" s="6" t="s">
        <v>161</v>
      </c>
      <c r="FG273" s="6" t="s">
        <v>162</v>
      </c>
      <c r="FH273" s="6" t="s">
        <v>163</v>
      </c>
      <c r="FI273" s="15" t="s">
        <v>164</v>
      </c>
      <c r="FJ273" s="6" t="s">
        <v>165</v>
      </c>
      <c r="FK273" s="6" t="s">
        <v>166</v>
      </c>
      <c r="FL273" s="6" t="s">
        <v>167</v>
      </c>
      <c r="FM273" s="6" t="s">
        <v>168</v>
      </c>
      <c r="FN273" s="6" t="s">
        <v>169</v>
      </c>
      <c r="FO273" s="10" t="s">
        <v>170</v>
      </c>
      <c r="FP273" s="10" t="s">
        <v>171</v>
      </c>
      <c r="FQ273" s="6" t="s">
        <v>584</v>
      </c>
      <c r="FR273" s="6" t="s">
        <v>173</v>
      </c>
      <c r="FS273" s="10" t="s">
        <v>585</v>
      </c>
      <c r="FT273" s="6" t="s">
        <v>175</v>
      </c>
      <c r="FU273" s="6" t="s">
        <v>176</v>
      </c>
      <c r="FV273" s="6" t="s">
        <v>177</v>
      </c>
      <c r="FW273" s="6" t="s">
        <v>178</v>
      </c>
      <c r="FX273" s="6" t="s">
        <v>586</v>
      </c>
      <c r="FY273" s="6" t="s">
        <v>587</v>
      </c>
      <c r="FZ273" s="6" t="s">
        <v>181</v>
      </c>
      <c r="GA273" s="6" t="s">
        <v>182</v>
      </c>
      <c r="GB273" s="6" t="s">
        <v>183</v>
      </c>
      <c r="GC273" s="6" t="s">
        <v>184</v>
      </c>
      <c r="GD273" s="6" t="s">
        <v>185</v>
      </c>
      <c r="GE273" s="6" t="s">
        <v>186</v>
      </c>
      <c r="GF273" s="6" t="s">
        <v>187</v>
      </c>
      <c r="GG273" s="6" t="s">
        <v>188</v>
      </c>
      <c r="GH273" s="6" t="s">
        <v>189</v>
      </c>
      <c r="GI273" s="6" t="s">
        <v>190</v>
      </c>
      <c r="GJ273" s="6" t="s">
        <v>191</v>
      </c>
      <c r="GK273" s="6" t="s">
        <v>192</v>
      </c>
      <c r="GL273" s="6" t="s">
        <v>193</v>
      </c>
      <c r="GM273" s="6" t="s">
        <v>194</v>
      </c>
      <c r="GN273" s="6" t="s">
        <v>195</v>
      </c>
      <c r="GO273" s="6" t="s">
        <v>588</v>
      </c>
      <c r="GP273" s="6" t="s">
        <v>197</v>
      </c>
      <c r="GQ273" s="6" t="s">
        <v>198</v>
      </c>
      <c r="GR273" s="6" t="s">
        <v>199</v>
      </c>
      <c r="GS273" s="6" t="s">
        <v>200</v>
      </c>
      <c r="GT273" s="6" t="s">
        <v>589</v>
      </c>
      <c r="GU273" s="6" t="s">
        <v>202</v>
      </c>
      <c r="GV273" s="6" t="s">
        <v>203</v>
      </c>
      <c r="GW273" s="6" t="s">
        <v>204</v>
      </c>
      <c r="GX273" s="16" t="s">
        <v>205</v>
      </c>
      <c r="GY273" s="17" t="s">
        <v>206</v>
      </c>
      <c r="GZ273" s="16" t="s">
        <v>207</v>
      </c>
      <c r="HA273" s="16" t="s">
        <v>208</v>
      </c>
      <c r="HB273" s="16" t="s">
        <v>590</v>
      </c>
      <c r="HC273" s="16" t="s">
        <v>591</v>
      </c>
      <c r="HD273" s="16" t="s">
        <v>211</v>
      </c>
      <c r="HE273" s="16" t="s">
        <v>592</v>
      </c>
      <c r="HF273" s="16" t="s">
        <v>213</v>
      </c>
      <c r="HG273" s="16" t="s">
        <v>214</v>
      </c>
      <c r="HH273" s="16" t="s">
        <v>215</v>
      </c>
      <c r="HI273" s="16" t="s">
        <v>216</v>
      </c>
      <c r="HJ273" s="16" t="s">
        <v>217</v>
      </c>
      <c r="HK273" s="16" t="s">
        <v>218</v>
      </c>
      <c r="HL273" s="16" t="s">
        <v>219</v>
      </c>
      <c r="HM273" s="16" t="s">
        <v>220</v>
      </c>
      <c r="HN273" s="17" t="s">
        <v>221</v>
      </c>
      <c r="HO273" s="16" t="s">
        <v>593</v>
      </c>
      <c r="HP273" s="16" t="s">
        <v>223</v>
      </c>
      <c r="HQ273" s="16" t="s">
        <v>594</v>
      </c>
      <c r="HR273" s="16" t="s">
        <v>225</v>
      </c>
      <c r="HS273" s="16" t="s">
        <v>226</v>
      </c>
      <c r="HT273" s="16" t="s">
        <v>227</v>
      </c>
      <c r="HU273" s="16" t="s">
        <v>228</v>
      </c>
      <c r="HV273" s="16" t="s">
        <v>229</v>
      </c>
      <c r="HW273" s="16" t="s">
        <v>230</v>
      </c>
      <c r="HX273" s="16" t="s">
        <v>231</v>
      </c>
      <c r="HY273" s="16" t="s">
        <v>232</v>
      </c>
      <c r="HZ273" s="16" t="s">
        <v>233</v>
      </c>
      <c r="IA273" s="6" t="s">
        <v>234</v>
      </c>
      <c r="IB273" s="6" t="s">
        <v>235</v>
      </c>
      <c r="IC273" s="6" t="s">
        <v>236</v>
      </c>
      <c r="ID273" s="6" t="s">
        <v>237</v>
      </c>
      <c r="IE273" s="6" t="s">
        <v>238</v>
      </c>
      <c r="IF273" s="6" t="s">
        <v>239</v>
      </c>
      <c r="IG273" s="6" t="s">
        <v>240</v>
      </c>
      <c r="IH273" s="6" t="s">
        <v>241</v>
      </c>
      <c r="II273" s="6" t="s">
        <v>242</v>
      </c>
    </row>
    <row r="274" ht="9.75">
      <c r="A274" s="200" t="s">
        <v>595</v>
      </c>
    </row>
    <row r="275" ht="9.75">
      <c r="A275" s="201" t="s">
        <v>596</v>
      </c>
    </row>
    <row r="276" ht="9.75">
      <c r="A276" s="202" t="s">
        <v>597</v>
      </c>
    </row>
    <row r="277" ht="18.75">
      <c r="A277" s="203" t="s">
        <v>598</v>
      </c>
    </row>
  </sheetData>
  <printOptions horizontalCentered="1"/>
  <pageMargins left="0.4" right="0.4" top="0.5" bottom="0.41041666666666665" header="0.25" footer="0.2701388888888889"/>
  <pageSetup horizontalDpi="300" verticalDpi="300" orientation="landscape"/>
  <headerFooter alignWithMargins="0">
    <oddHeader xml:space="preserve">&amp;LKatherine (Kitty) Antonik&amp;CTotals Only from Supplement Regimen of Mainly Multi-Source Constituents &amp;R3/10/06 </oddHeader>
    <oddFooter>&amp;LPage &amp;P of &amp;N&amp;Rhttp://morelife.org/personal/health/regimen_ingredients_2meals.xls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/>
  <cp:lastPrinted>2006-03-11T01:06:24Z</cp:lastPrinted>
  <dcterms:created xsi:type="dcterms:W3CDTF">2000-09-22T21:55:17Z</dcterms:created>
  <dcterms:modified xsi:type="dcterms:W3CDTF">2007-09-07T16:18:04Z</dcterms:modified>
  <cp:category/>
  <cp:version/>
  <cp:contentType/>
  <cp:contentStatus/>
  <cp:revision>1</cp:revision>
</cp:coreProperties>
</file>